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0140" yWindow="0" windowWidth="10455" windowHeight="10905" tabRatio="639" activeTab="7"/>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5" sheetId="103" r:id="rId11"/>
    <sheet name="F6" sheetId="104" r:id="rId12"/>
    <sheet name="F7" sheetId="105" r:id="rId13"/>
    <sheet name="F8" sheetId="106" r:id="rId14"/>
    <sheet name="F9" sheetId="64" r:id="rId15"/>
    <sheet name="F10" sheetId="81" r:id="rId16"/>
    <sheet name="F11" sheetId="107" r:id="rId17"/>
    <sheet name="F11.1" sheetId="111" r:id="rId18"/>
    <sheet name="F12" sheetId="110" r:id="rId19"/>
    <sheet name="F13" sheetId="71" r:id="rId20"/>
    <sheet name="F15" sheetId="91" r:id="rId21"/>
  </sheets>
  <externalReferences>
    <externalReference r:id="rId22"/>
    <externalReference r:id="rId23"/>
    <externalReference r:id="rId24"/>
  </externalReferences>
  <definedNames>
    <definedName name="__123Graph_A" localSheetId="6" hidden="1">[1]CE!#REF!</definedName>
    <definedName name="__123Graph_A" localSheetId="7"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B" localSheetId="6" hidden="1">[1]CE!#REF!</definedName>
    <definedName name="__123Graph_B" localSheetId="7"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C" localSheetId="6" hidden="1">[1]CE!#REF!</definedName>
    <definedName name="__123Graph_C" localSheetId="7"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X" localSheetId="6" hidden="1">[1]CE!#REF!</definedName>
    <definedName name="__123Graph_X" localSheetId="7"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Fill" localSheetId="6" hidden="1">#REF!</definedName>
    <definedName name="_Fill" localSheetId="7"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Order1" hidden="1">255</definedName>
    <definedName name="new" localSheetId="6" hidden="1">[2]CE!#REF!</definedName>
    <definedName name="new" localSheetId="7"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_xlnm.Print_Area" localSheetId="0">Checklist!$A$1:$E$26</definedName>
    <definedName name="_xlnm.Print_Area" localSheetId="12">'F7'!$B$2:$J$23</definedName>
    <definedName name="xxxx" localSheetId="6" hidden="1">[3]CE!#REF!</definedName>
    <definedName name="xxxx" localSheetId="7"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01" l="1"/>
  <c r="H12" i="101"/>
  <c r="P22" i="91"/>
  <c r="P15" i="91"/>
  <c r="P23" i="91" l="1"/>
  <c r="P29" i="91" s="1"/>
  <c r="P21" i="91"/>
  <c r="P20" i="91"/>
  <c r="P19" i="91"/>
  <c r="P17" i="91"/>
  <c r="P14" i="91"/>
  <c r="P13" i="91"/>
  <c r="P12" i="91"/>
  <c r="A7" i="91"/>
  <c r="A8" i="91" s="1"/>
  <c r="A9" i="91" s="1"/>
  <c r="A10" i="91" s="1"/>
  <c r="A11" i="91" s="1"/>
  <c r="A12" i="91" s="1"/>
  <c r="A13" i="91" s="1"/>
  <c r="A14" i="91" s="1"/>
  <c r="A15" i="91" s="1"/>
  <c r="A16" i="91" s="1"/>
  <c r="A17" i="91" s="1"/>
  <c r="A18" i="91" s="1"/>
  <c r="A19" i="91" s="1"/>
  <c r="A20" i="91" s="1"/>
  <c r="A21" i="91" s="1"/>
  <c r="A22" i="91" s="1"/>
  <c r="A23" i="91" s="1"/>
  <c r="A24" i="91" s="1"/>
  <c r="A29" i="91" s="1"/>
  <c r="A30" i="91" s="1"/>
  <c r="K30" i="81" l="1"/>
  <c r="K29" i="81"/>
  <c r="F9" i="109" l="1"/>
  <c r="D9" i="109"/>
  <c r="E17" i="69"/>
  <c r="F17" i="69"/>
  <c r="D17" i="69"/>
  <c r="G56" i="102"/>
  <c r="H56" i="102"/>
  <c r="K56" i="102"/>
  <c r="L56" i="102"/>
  <c r="G39" i="102"/>
  <c r="H39" i="102"/>
  <c r="K39" i="102"/>
  <c r="L39" i="102"/>
  <c r="H22" i="102"/>
  <c r="J22" i="102"/>
  <c r="K22" i="102"/>
  <c r="L22" i="102"/>
  <c r="G22" i="102"/>
  <c r="F22" i="102"/>
  <c r="K18" i="58" l="1"/>
  <c r="F10" i="110"/>
  <c r="F30" i="81"/>
  <c r="F29" i="81" s="1"/>
  <c r="F28" i="81" s="1"/>
  <c r="E15" i="110" l="1"/>
  <c r="E14" i="110"/>
  <c r="E13" i="110"/>
  <c r="G41" i="81"/>
  <c r="B41" i="81"/>
  <c r="B42" i="81" s="1"/>
  <c r="G38" i="81"/>
  <c r="G37" i="81"/>
  <c r="B37" i="81"/>
  <c r="B38" i="81" s="1"/>
  <c r="G34" i="81"/>
  <c r="G33" i="81"/>
  <c r="B33" i="81"/>
  <c r="B34" i="81" s="1"/>
  <c r="G30" i="81"/>
  <c r="G29" i="81"/>
  <c r="G28" i="81"/>
  <c r="B27" i="81"/>
  <c r="B28" i="81" s="1"/>
  <c r="B29" i="81" s="1"/>
  <c r="B30" i="81" s="1"/>
  <c r="G24" i="81"/>
  <c r="G23" i="81"/>
  <c r="B23" i="81"/>
  <c r="B24" i="81" s="1"/>
  <c r="G20" i="81"/>
  <c r="G19" i="81"/>
  <c r="B19" i="81"/>
  <c r="B20" i="81" s="1"/>
  <c r="G16" i="81"/>
  <c r="B15" i="81"/>
  <c r="B16" i="81" s="1"/>
  <c r="N30" i="71" l="1"/>
  <c r="M30" i="71"/>
  <c r="L30" i="71"/>
  <c r="K30" i="71"/>
  <c r="J30" i="71"/>
  <c r="I30" i="71"/>
  <c r="H30" i="71"/>
  <c r="G30" i="71"/>
  <c r="F30" i="71"/>
  <c r="E30" i="71"/>
  <c r="D30" i="71"/>
  <c r="C30" i="71"/>
  <c r="N28" i="71"/>
  <c r="N32" i="71" s="1"/>
  <c r="M28" i="71"/>
  <c r="M32" i="71" s="1"/>
  <c r="L28" i="71"/>
  <c r="L32" i="71" s="1"/>
  <c r="K28" i="71"/>
  <c r="K32" i="71" s="1"/>
  <c r="J28" i="71"/>
  <c r="J32" i="71" s="1"/>
  <c r="I28" i="71"/>
  <c r="I32" i="71" s="1"/>
  <c r="H28" i="71"/>
  <c r="H32" i="71" s="1"/>
  <c r="G28" i="71"/>
  <c r="G32" i="71" s="1"/>
  <c r="F28" i="71"/>
  <c r="F32" i="71" s="1"/>
  <c r="E28" i="71"/>
  <c r="E32" i="71" s="1"/>
  <c r="D28" i="71"/>
  <c r="D32" i="71" s="1"/>
  <c r="C28" i="71"/>
  <c r="N21" i="71"/>
  <c r="M21" i="71"/>
  <c r="L21" i="71"/>
  <c r="K21" i="71"/>
  <c r="J21" i="71"/>
  <c r="I21" i="71"/>
  <c r="H21" i="71"/>
  <c r="G21" i="71"/>
  <c r="F21" i="71"/>
  <c r="E21" i="71"/>
  <c r="D21" i="71"/>
  <c r="C21" i="71"/>
  <c r="N19" i="71"/>
  <c r="N23" i="71" s="1"/>
  <c r="M19" i="71"/>
  <c r="M23" i="71" s="1"/>
  <c r="L19" i="71"/>
  <c r="L23" i="71" s="1"/>
  <c r="K19" i="71"/>
  <c r="K23" i="71" s="1"/>
  <c r="J19" i="71"/>
  <c r="J23" i="71" s="1"/>
  <c r="I19" i="71"/>
  <c r="I23" i="71" s="1"/>
  <c r="H19" i="71"/>
  <c r="H23" i="71" s="1"/>
  <c r="G19" i="71"/>
  <c r="G23" i="71" s="1"/>
  <c r="F19" i="71"/>
  <c r="F23" i="71" s="1"/>
  <c r="E19" i="71"/>
  <c r="E23" i="71" s="1"/>
  <c r="D19" i="71"/>
  <c r="D23" i="71" s="1"/>
  <c r="C19" i="71"/>
  <c r="N11" i="71"/>
  <c r="M11" i="71"/>
  <c r="L11" i="71"/>
  <c r="K11" i="71"/>
  <c r="J11" i="71"/>
  <c r="I11" i="71"/>
  <c r="H11" i="71"/>
  <c r="G11" i="71"/>
  <c r="F11" i="71"/>
  <c r="E11" i="71"/>
  <c r="D11" i="71"/>
  <c r="C11" i="71"/>
  <c r="N9" i="71"/>
  <c r="N13" i="71" s="1"/>
  <c r="M9" i="71"/>
  <c r="M13" i="71" s="1"/>
  <c r="L9" i="71"/>
  <c r="L13" i="71" s="1"/>
  <c r="K9" i="71"/>
  <c r="K13" i="71" s="1"/>
  <c r="J9" i="71"/>
  <c r="J13" i="71" s="1"/>
  <c r="I9" i="71"/>
  <c r="I13" i="71" s="1"/>
  <c r="H9" i="71"/>
  <c r="H13" i="71" s="1"/>
  <c r="G9" i="71"/>
  <c r="G13" i="71" s="1"/>
  <c r="F9" i="71"/>
  <c r="F13" i="71" s="1"/>
  <c r="E9" i="71"/>
  <c r="E13" i="71" s="1"/>
  <c r="D9" i="71"/>
  <c r="D13" i="71" s="1"/>
  <c r="C9" i="71"/>
  <c r="I16" i="110"/>
  <c r="E18" i="110"/>
  <c r="AM30" i="111"/>
  <c r="AL30" i="111"/>
  <c r="AK30" i="111"/>
  <c r="AJ30" i="111"/>
  <c r="AI30" i="111"/>
  <c r="AH30" i="111"/>
  <c r="AG30" i="111"/>
  <c r="AF30" i="111"/>
  <c r="AE30" i="111"/>
  <c r="AD30" i="111"/>
  <c r="AC30" i="111"/>
  <c r="AB30" i="111"/>
  <c r="AA30" i="111"/>
  <c r="Z30" i="111"/>
  <c r="Y30" i="111"/>
  <c r="X30" i="111"/>
  <c r="W30" i="111"/>
  <c r="V30" i="111"/>
  <c r="U30" i="111"/>
  <c r="T30" i="111"/>
  <c r="S30" i="111"/>
  <c r="R30" i="111"/>
  <c r="Q30" i="111"/>
  <c r="P30" i="111"/>
  <c r="O30" i="111"/>
  <c r="N30" i="111"/>
  <c r="M30" i="111"/>
  <c r="L30" i="111"/>
  <c r="K30" i="111"/>
  <c r="J30" i="111"/>
  <c r="I30" i="111"/>
  <c r="H30" i="111"/>
  <c r="G30" i="111"/>
  <c r="F30" i="111"/>
  <c r="E30" i="111"/>
  <c r="D30" i="111"/>
  <c r="AM20" i="111"/>
  <c r="AM31" i="111" s="1"/>
  <c r="AL20" i="111"/>
  <c r="AL31" i="111" s="1"/>
  <c r="AK20" i="111"/>
  <c r="AK31" i="111" s="1"/>
  <c r="AJ20" i="111"/>
  <c r="AJ31" i="111" s="1"/>
  <c r="AI20" i="111"/>
  <c r="AI31" i="111" s="1"/>
  <c r="AH20" i="111"/>
  <c r="AH31" i="111" s="1"/>
  <c r="AG20" i="111"/>
  <c r="AG31" i="111" s="1"/>
  <c r="AF20" i="111"/>
  <c r="AF31" i="111" s="1"/>
  <c r="AE20" i="111"/>
  <c r="AE31" i="111" s="1"/>
  <c r="AD20" i="111"/>
  <c r="AD31" i="111" s="1"/>
  <c r="AC20" i="111"/>
  <c r="AC31" i="111" s="1"/>
  <c r="AB20" i="111"/>
  <c r="AB31" i="111" s="1"/>
  <c r="AA20" i="111"/>
  <c r="AA31" i="111" s="1"/>
  <c r="Z20" i="111"/>
  <c r="Z31" i="111" s="1"/>
  <c r="Y20" i="111"/>
  <c r="Y31" i="111" s="1"/>
  <c r="X20" i="111"/>
  <c r="X31" i="111" s="1"/>
  <c r="W20" i="111"/>
  <c r="W31" i="111" s="1"/>
  <c r="V20" i="111"/>
  <c r="V31" i="111" s="1"/>
  <c r="U20" i="111"/>
  <c r="U31" i="111" s="1"/>
  <c r="T20" i="111"/>
  <c r="T31" i="111" s="1"/>
  <c r="S20" i="111"/>
  <c r="S31" i="111" s="1"/>
  <c r="R20" i="111"/>
  <c r="R31" i="111" s="1"/>
  <c r="Q20" i="111"/>
  <c r="Q31" i="111" s="1"/>
  <c r="P20" i="111"/>
  <c r="P31" i="111" s="1"/>
  <c r="O20" i="111"/>
  <c r="O31" i="111" s="1"/>
  <c r="N20" i="111"/>
  <c r="N31" i="111" s="1"/>
  <c r="M20" i="111"/>
  <c r="M31" i="111" s="1"/>
  <c r="L20" i="111"/>
  <c r="L31" i="111" s="1"/>
  <c r="K20" i="111"/>
  <c r="K31" i="111" s="1"/>
  <c r="J20" i="111"/>
  <c r="J31" i="111" s="1"/>
  <c r="I20" i="111"/>
  <c r="I31" i="111" s="1"/>
  <c r="H20" i="111"/>
  <c r="H31" i="111" s="1"/>
  <c r="G20" i="111"/>
  <c r="G31" i="111" s="1"/>
  <c r="F20" i="111"/>
  <c r="F31" i="111" s="1"/>
  <c r="E20" i="111"/>
  <c r="E31" i="111" s="1"/>
  <c r="D20" i="111"/>
  <c r="D31" i="111" s="1"/>
  <c r="AM13" i="111"/>
  <c r="AM15" i="111" s="1"/>
  <c r="AL13" i="111"/>
  <c r="AL15" i="111" s="1"/>
  <c r="AK13" i="111"/>
  <c r="AK15" i="111" s="1"/>
  <c r="AJ13" i="111"/>
  <c r="AJ15" i="111" s="1"/>
  <c r="AI13" i="111"/>
  <c r="AI15" i="111" s="1"/>
  <c r="AH13" i="111"/>
  <c r="AH15" i="111" s="1"/>
  <c r="AG13" i="111"/>
  <c r="AG15" i="111" s="1"/>
  <c r="AF13" i="111"/>
  <c r="AF15" i="111" s="1"/>
  <c r="AE13" i="111"/>
  <c r="AE15" i="111" s="1"/>
  <c r="AD13" i="111"/>
  <c r="AD15" i="111" s="1"/>
  <c r="AC13" i="111"/>
  <c r="AC15" i="111" s="1"/>
  <c r="AB13" i="111"/>
  <c r="AB15" i="111" s="1"/>
  <c r="AA13" i="111"/>
  <c r="AA15" i="111" s="1"/>
  <c r="Z13" i="111"/>
  <c r="Z15" i="111" s="1"/>
  <c r="Y13" i="111"/>
  <c r="Y15" i="111" s="1"/>
  <c r="X13" i="111"/>
  <c r="X15" i="111" s="1"/>
  <c r="W13" i="111"/>
  <c r="W15" i="111" s="1"/>
  <c r="V13" i="111"/>
  <c r="V15" i="111" s="1"/>
  <c r="U13" i="111"/>
  <c r="U15" i="111" s="1"/>
  <c r="T13" i="111"/>
  <c r="T15" i="111" s="1"/>
  <c r="S13" i="111"/>
  <c r="S15" i="111" s="1"/>
  <c r="R13" i="111"/>
  <c r="R15" i="111" s="1"/>
  <c r="Q13" i="111"/>
  <c r="Q15" i="111" s="1"/>
  <c r="P13" i="111"/>
  <c r="P15" i="111" s="1"/>
  <c r="O13" i="111"/>
  <c r="O15" i="111" s="1"/>
  <c r="N13" i="111"/>
  <c r="N15" i="111" s="1"/>
  <c r="M13" i="111"/>
  <c r="M15" i="111" s="1"/>
  <c r="L13" i="111"/>
  <c r="L15" i="111" s="1"/>
  <c r="K13" i="111"/>
  <c r="K15" i="111" s="1"/>
  <c r="J13" i="111"/>
  <c r="J15" i="111" s="1"/>
  <c r="I13" i="111"/>
  <c r="I15" i="111" s="1"/>
  <c r="H13" i="111"/>
  <c r="H15" i="111" s="1"/>
  <c r="G13" i="111"/>
  <c r="G15" i="111" s="1"/>
  <c r="F13" i="111"/>
  <c r="F15" i="111" s="1"/>
  <c r="E13" i="111"/>
  <c r="E15" i="111" s="1"/>
  <c r="D13" i="111"/>
  <c r="D15" i="111" s="1"/>
  <c r="F31" i="107"/>
  <c r="G31" i="107"/>
  <c r="H31" i="107"/>
  <c r="I31" i="107"/>
  <c r="J31" i="107"/>
  <c r="K31" i="107"/>
  <c r="L31" i="107"/>
  <c r="M31" i="107"/>
  <c r="N31" i="107"/>
  <c r="O31" i="107"/>
  <c r="P31" i="107"/>
  <c r="Q31" i="107"/>
  <c r="R31" i="107"/>
  <c r="S31" i="107"/>
  <c r="T31" i="107"/>
  <c r="U31" i="107"/>
  <c r="V31" i="107"/>
  <c r="E31" i="107"/>
  <c r="O11" i="71" l="1"/>
  <c r="O21" i="71"/>
  <c r="O30" i="71"/>
  <c r="C13" i="71"/>
  <c r="O9" i="71"/>
  <c r="O13" i="71" s="1"/>
  <c r="C23" i="71"/>
  <c r="O19" i="71"/>
  <c r="C32" i="71"/>
  <c r="O28" i="71"/>
  <c r="D33" i="111"/>
  <c r="E33" i="111"/>
  <c r="F33" i="111"/>
  <c r="G33" i="111"/>
  <c r="H33" i="111"/>
  <c r="I33" i="111"/>
  <c r="J33" i="111"/>
  <c r="K33" i="111"/>
  <c r="L33" i="111"/>
  <c r="M33" i="111"/>
  <c r="N33" i="111"/>
  <c r="O33" i="111"/>
  <c r="P33" i="111"/>
  <c r="Q33" i="111"/>
  <c r="R33" i="111"/>
  <c r="S33" i="111"/>
  <c r="T33" i="111"/>
  <c r="U33" i="111"/>
  <c r="V33" i="111"/>
  <c r="W33" i="111"/>
  <c r="X33" i="111"/>
  <c r="Y33" i="111"/>
  <c r="Z33" i="111"/>
  <c r="AA33" i="111"/>
  <c r="AB33" i="111"/>
  <c r="AC33" i="111"/>
  <c r="AD33" i="111"/>
  <c r="AE33" i="111"/>
  <c r="AF33" i="111"/>
  <c r="AG33" i="111"/>
  <c r="AH33" i="111"/>
  <c r="AI33" i="111"/>
  <c r="AJ33" i="111"/>
  <c r="AK33" i="111"/>
  <c r="AL33" i="111"/>
  <c r="AM33" i="111"/>
  <c r="O23" i="71" l="1"/>
  <c r="I23" i="81" s="1"/>
  <c r="I29" i="81" s="1"/>
  <c r="I28" i="81" s="1"/>
  <c r="O32" i="71"/>
  <c r="I30" i="81"/>
  <c r="B48" i="102"/>
  <c r="B49" i="102" s="1"/>
  <c r="B50" i="102" s="1"/>
  <c r="B51" i="102" s="1"/>
  <c r="B52" i="102" s="1"/>
  <c r="B53" i="102" s="1"/>
  <c r="B54" i="102" s="1"/>
  <c r="B55" i="102" s="1"/>
  <c r="B31" i="102"/>
  <c r="B32" i="102" s="1"/>
  <c r="B33" i="102" s="1"/>
  <c r="B34" i="102" s="1"/>
  <c r="B35" i="102" s="1"/>
  <c r="B36" i="102" s="1"/>
  <c r="B37" i="102" s="1"/>
  <c r="B38" i="102" s="1"/>
  <c r="B14" i="102"/>
  <c r="B15" i="102" s="1"/>
  <c r="B16" i="102" s="1"/>
  <c r="B17" i="102" s="1"/>
  <c r="B18" i="102" s="1"/>
  <c r="B19" i="102" s="1"/>
  <c r="B20" i="102" s="1"/>
  <c r="B21" i="102" s="1"/>
  <c r="I18" i="58" l="1"/>
  <c r="I13" i="110"/>
  <c r="I15" i="110"/>
  <c r="J15" i="110" l="1"/>
  <c r="K15" i="110" s="1"/>
  <c r="K13" i="110"/>
  <c r="K14" i="110"/>
  <c r="D40" i="104"/>
  <c r="E40" i="104" s="1"/>
  <c r="J28" i="106" l="1"/>
  <c r="H28" i="106"/>
  <c r="F28" i="106"/>
  <c r="E28" i="106"/>
  <c r="B10" i="106"/>
  <c r="B11" i="106" s="1"/>
  <c r="B12" i="106" s="1"/>
  <c r="B13" i="106" s="1"/>
  <c r="B14" i="106" s="1"/>
  <c r="B15" i="106" s="1"/>
  <c r="B16" i="106" s="1"/>
  <c r="B17" i="106" s="1"/>
  <c r="B18" i="106" s="1"/>
  <c r="B19" i="106" s="1"/>
  <c r="B20" i="106" s="1"/>
  <c r="B21" i="106" s="1"/>
  <c r="B22" i="106" s="1"/>
  <c r="B23" i="106" s="1"/>
  <c r="B24" i="106" s="1"/>
  <c r="B25" i="106" s="1"/>
  <c r="B26" i="106" s="1"/>
  <c r="B27" i="106" s="1"/>
  <c r="D24" i="67"/>
  <c r="J13" i="110" l="1"/>
  <c r="F18" i="58" l="1"/>
  <c r="H13" i="110"/>
  <c r="H14" i="110"/>
  <c r="H15" i="110"/>
  <c r="F18" i="104"/>
  <c r="F16" i="110" l="1"/>
  <c r="F9" i="110"/>
  <c r="G14" i="58"/>
  <c r="L10" i="58"/>
  <c r="J10" i="58"/>
  <c r="F18" i="110" l="1"/>
  <c r="F19" i="110"/>
  <c r="F17" i="110"/>
  <c r="F9" i="58"/>
  <c r="I19" i="110" l="1"/>
  <c r="I18" i="110"/>
  <c r="H11" i="104" s="1"/>
  <c r="I17" i="110"/>
  <c r="E9" i="104"/>
  <c r="K12" i="66"/>
  <c r="I12" i="66"/>
  <c r="H9" i="104" l="1"/>
  <c r="H10" i="104"/>
  <c r="H16" i="104" s="1"/>
  <c r="E13" i="104"/>
  <c r="F13" i="104" s="1"/>
  <c r="F10" i="105" l="1"/>
  <c r="F11" i="105" s="1"/>
  <c r="G10" i="105"/>
  <c r="G11" i="105" s="1"/>
  <c r="H10" i="105"/>
  <c r="H11" i="105" s="1"/>
  <c r="I10" i="105"/>
  <c r="I11" i="105" s="1"/>
  <c r="J10" i="105"/>
  <c r="J11" i="105" s="1"/>
  <c r="E10" i="105"/>
  <c r="E11" i="105" s="1"/>
  <c r="E9" i="105" l="1"/>
  <c r="D19" i="69"/>
  <c r="H10" i="58"/>
  <c r="G10" i="58" s="1"/>
  <c r="E14" i="103" s="1"/>
  <c r="G14" i="103"/>
  <c r="H14" i="103"/>
  <c r="I14" i="103"/>
  <c r="J14" i="103"/>
  <c r="F13" i="103"/>
  <c r="G13" i="103"/>
  <c r="H13" i="103"/>
  <c r="I13" i="103"/>
  <c r="J13" i="103"/>
  <c r="E13" i="103"/>
  <c r="E10" i="103"/>
  <c r="E9" i="103"/>
  <c r="F14" i="103" l="1"/>
  <c r="G18" i="58" l="1"/>
  <c r="I13" i="93"/>
  <c r="K11" i="58"/>
  <c r="K13" i="58" l="1"/>
  <c r="K9" i="58"/>
  <c r="K12" i="58"/>
  <c r="H14" i="58" l="1"/>
  <c r="K14" i="58"/>
  <c r="K15" i="58" s="1"/>
  <c r="D25" i="106"/>
  <c r="I17" i="105" l="1"/>
  <c r="M11" i="102" l="1"/>
  <c r="J28" i="102" s="1"/>
  <c r="M12" i="102"/>
  <c r="J29" i="102" s="1"/>
  <c r="M15" i="102"/>
  <c r="M16" i="102"/>
  <c r="M17" i="102"/>
  <c r="M18" i="102"/>
  <c r="M19" i="102"/>
  <c r="M20" i="102"/>
  <c r="M21" i="102"/>
  <c r="M10" i="102"/>
  <c r="M14" i="102"/>
  <c r="J27" i="102" l="1"/>
  <c r="M29" i="102"/>
  <c r="J46" i="102" s="1"/>
  <c r="M46" i="102" s="1"/>
  <c r="J33" i="102"/>
  <c r="M33" i="102" s="1"/>
  <c r="J50" i="102" s="1"/>
  <c r="M50" i="102" s="1"/>
  <c r="J35" i="102"/>
  <c r="J37" i="102"/>
  <c r="J31" i="102"/>
  <c r="M31" i="102" s="1"/>
  <c r="J38" i="102"/>
  <c r="J36" i="102"/>
  <c r="J34" i="102"/>
  <c r="M34" i="102" s="1"/>
  <c r="J51" i="102" s="1"/>
  <c r="M51" i="102" s="1"/>
  <c r="M28" i="102"/>
  <c r="J45" i="102" s="1"/>
  <c r="M45" i="102" s="1"/>
  <c r="J32" i="102"/>
  <c r="M32" i="102" s="1"/>
  <c r="J49" i="102" s="1"/>
  <c r="M49" i="102" s="1"/>
  <c r="N21" i="102"/>
  <c r="I21" i="102"/>
  <c r="F38" i="102" s="1"/>
  <c r="N20" i="102"/>
  <c r="I20" i="102"/>
  <c r="F37" i="102" s="1"/>
  <c r="N19" i="102"/>
  <c r="I19" i="102"/>
  <c r="F36" i="102" s="1"/>
  <c r="N18" i="102"/>
  <c r="I18" i="102"/>
  <c r="F35" i="102" s="1"/>
  <c r="N17" i="102"/>
  <c r="I17" i="102"/>
  <c r="F34" i="102" s="1"/>
  <c r="N16" i="102"/>
  <c r="I16" i="102"/>
  <c r="F33" i="102" s="1"/>
  <c r="N15" i="102"/>
  <c r="I15" i="102"/>
  <c r="F32" i="102" s="1"/>
  <c r="N14" i="102"/>
  <c r="N12" i="102"/>
  <c r="I12" i="102"/>
  <c r="N11" i="102"/>
  <c r="I11" i="102"/>
  <c r="N10" i="102"/>
  <c r="I10" i="102"/>
  <c r="F27" i="102" l="1"/>
  <c r="M27" i="102"/>
  <c r="J48" i="102"/>
  <c r="O11" i="102"/>
  <c r="F28" i="102"/>
  <c r="O12" i="102"/>
  <c r="F29" i="102"/>
  <c r="O15" i="102"/>
  <c r="O16" i="102"/>
  <c r="O17" i="102"/>
  <c r="O18" i="102"/>
  <c r="O19" i="102"/>
  <c r="O20" i="102"/>
  <c r="O21" i="102"/>
  <c r="M35" i="102"/>
  <c r="J52" i="102" s="1"/>
  <c r="M52" i="102" s="1"/>
  <c r="O10" i="102"/>
  <c r="M13" i="102"/>
  <c r="M22" i="102" s="1"/>
  <c r="J44" i="102" l="1"/>
  <c r="M48" i="102"/>
  <c r="J30" i="102"/>
  <c r="J39" i="102" s="1"/>
  <c r="I36" i="102"/>
  <c r="F53" i="102" s="1"/>
  <c r="N34" i="102"/>
  <c r="I34" i="102"/>
  <c r="N33" i="102"/>
  <c r="I33" i="102"/>
  <c r="N32" i="102"/>
  <c r="I32" i="102"/>
  <c r="N29" i="102"/>
  <c r="I29" i="102"/>
  <c r="N28" i="102"/>
  <c r="I28" i="102"/>
  <c r="N27" i="102"/>
  <c r="I27" i="102"/>
  <c r="M44" i="102" l="1"/>
  <c r="F44" i="102"/>
  <c r="I44" i="102" s="1"/>
  <c r="M30" i="102"/>
  <c r="O28" i="102"/>
  <c r="F45" i="102"/>
  <c r="O29" i="102"/>
  <c r="F46" i="102"/>
  <c r="O32" i="102"/>
  <c r="F49" i="102"/>
  <c r="O33" i="102"/>
  <c r="F50" i="102"/>
  <c r="O34" i="102"/>
  <c r="F51" i="102"/>
  <c r="I53" i="102"/>
  <c r="M36" i="102"/>
  <c r="N36" i="102"/>
  <c r="O27" i="102"/>
  <c r="N35" i="102"/>
  <c r="I35" i="102"/>
  <c r="F52" i="102" s="1"/>
  <c r="N44" i="102" l="1"/>
  <c r="O44" i="102"/>
  <c r="J47" i="102"/>
  <c r="N52" i="102"/>
  <c r="I52" i="102"/>
  <c r="O52" i="102" s="1"/>
  <c r="O36" i="102"/>
  <c r="J53" i="102"/>
  <c r="N51" i="102"/>
  <c r="I51" i="102"/>
  <c r="O51" i="102" s="1"/>
  <c r="N50" i="102"/>
  <c r="I50" i="102"/>
  <c r="O50" i="102" s="1"/>
  <c r="N49" i="102"/>
  <c r="I49" i="102"/>
  <c r="O49" i="102" s="1"/>
  <c r="N46" i="102"/>
  <c r="I46" i="102"/>
  <c r="O46" i="102" s="1"/>
  <c r="N45" i="102"/>
  <c r="I45" i="102"/>
  <c r="O45" i="102" s="1"/>
  <c r="O35" i="102"/>
  <c r="M47" i="102" l="1"/>
  <c r="M53" i="102"/>
  <c r="O53" i="102" s="1"/>
  <c r="N53" i="102"/>
  <c r="L18" i="58" l="1"/>
  <c r="J18" i="58"/>
  <c r="E12" i="110"/>
  <c r="K10" i="110"/>
  <c r="K11" i="110"/>
  <c r="K12" i="110"/>
  <c r="K9" i="110"/>
  <c r="H10" i="110"/>
  <c r="H11" i="110"/>
  <c r="H12" i="110"/>
  <c r="J12" i="110" s="1"/>
  <c r="H9" i="110"/>
  <c r="J9" i="110" s="1"/>
  <c r="H16" i="110" l="1"/>
  <c r="K18" i="110"/>
  <c r="J11" i="104" s="1"/>
  <c r="K19" i="110"/>
  <c r="K17" i="110"/>
  <c r="K16" i="110"/>
  <c r="E19" i="110"/>
  <c r="E17" i="110"/>
  <c r="H18" i="110"/>
  <c r="H19" i="110"/>
  <c r="G16" i="104" s="1"/>
  <c r="H17" i="110"/>
  <c r="J11" i="110"/>
  <c r="E16" i="110"/>
  <c r="J10" i="110"/>
  <c r="F24" i="67"/>
  <c r="F32" i="67" s="1"/>
  <c r="F34" i="67" s="1"/>
  <c r="E24" i="67"/>
  <c r="E32" i="67" s="1"/>
  <c r="E34" i="67" s="1"/>
  <c r="D32" i="67"/>
  <c r="D34" i="67" s="1"/>
  <c r="J16" i="110" l="1"/>
  <c r="I10" i="66"/>
  <c r="K10" i="66"/>
  <c r="J9" i="104"/>
  <c r="J10" i="104"/>
  <c r="J16" i="104" s="1"/>
  <c r="J19" i="110"/>
  <c r="J17" i="110"/>
  <c r="J18" i="110"/>
  <c r="F9" i="104"/>
  <c r="G14" i="110"/>
  <c r="G12" i="110"/>
  <c r="G11" i="110"/>
  <c r="G10" i="110"/>
  <c r="G9" i="110"/>
  <c r="G13" i="110"/>
  <c r="G15" i="110"/>
  <c r="G11" i="103"/>
  <c r="E15" i="109"/>
  <c r="G19" i="110" l="1"/>
  <c r="G17" i="110"/>
  <c r="G18" i="110"/>
  <c r="G16" i="110"/>
  <c r="E10" i="104"/>
  <c r="K17" i="58"/>
  <c r="K19" i="58" s="1"/>
  <c r="K20" i="58" s="1"/>
  <c r="H18" i="58"/>
  <c r="D11" i="105"/>
  <c r="E11" i="104" l="1"/>
  <c r="F11" i="104" s="1"/>
  <c r="F10" i="104"/>
  <c r="I17" i="104"/>
  <c r="D15" i="109"/>
  <c r="D13" i="105"/>
  <c r="D11" i="103"/>
  <c r="E21" i="107"/>
  <c r="E32" i="107" s="1"/>
  <c r="E14" i="107"/>
  <c r="E16" i="107" s="1"/>
  <c r="F16" i="104" l="1"/>
  <c r="E16" i="104"/>
  <c r="E34" i="107"/>
  <c r="D19" i="103"/>
  <c r="F10" i="66" l="1"/>
  <c r="G10" i="66" s="1"/>
  <c r="F36" i="68"/>
  <c r="E36" i="68"/>
  <c r="D36" i="68"/>
  <c r="D38" i="68" s="1"/>
  <c r="F12" i="66"/>
  <c r="G12" i="66" s="1"/>
  <c r="D13" i="93"/>
  <c r="G13" i="93"/>
  <c r="F15" i="109"/>
  <c r="D17" i="105"/>
  <c r="J17" i="105"/>
  <c r="H17" i="105"/>
  <c r="G17" i="105"/>
  <c r="F17" i="105"/>
  <c r="E17" i="105"/>
  <c r="G13" i="105"/>
  <c r="I11" i="66" l="1"/>
  <c r="I13" i="66" s="1"/>
  <c r="H12" i="104" s="1"/>
  <c r="E38" i="68"/>
  <c r="K11" i="66"/>
  <c r="K13" i="66" s="1"/>
  <c r="J12" i="104" s="1"/>
  <c r="F38" i="68"/>
  <c r="F11" i="66"/>
  <c r="F10" i="103"/>
  <c r="F9" i="105"/>
  <c r="F19" i="105" s="1"/>
  <c r="D18" i="109"/>
  <c r="D21" i="109" s="1"/>
  <c r="F18" i="109"/>
  <c r="F21" i="109" s="1"/>
  <c r="D19" i="105"/>
  <c r="D20" i="105" s="1"/>
  <c r="E18" i="109"/>
  <c r="E21" i="109" s="1"/>
  <c r="I9" i="58"/>
  <c r="F11" i="58"/>
  <c r="G19" i="103"/>
  <c r="I11" i="58" s="1"/>
  <c r="G19" i="105"/>
  <c r="G11" i="66" l="1"/>
  <c r="G13" i="66" s="1"/>
  <c r="H9" i="58" s="1"/>
  <c r="F13" i="66"/>
  <c r="E12" i="104" s="1"/>
  <c r="F12" i="104" s="1"/>
  <c r="E19" i="105"/>
  <c r="I37" i="102"/>
  <c r="F54" i="102" s="1"/>
  <c r="I38" i="102"/>
  <c r="F55" i="102" s="1"/>
  <c r="F9" i="103"/>
  <c r="F11" i="103" s="1"/>
  <c r="E11" i="103"/>
  <c r="F13" i="93"/>
  <c r="H9" i="103"/>
  <c r="J9" i="58"/>
  <c r="F18" i="103"/>
  <c r="E13" i="93"/>
  <c r="H10" i="93" s="1"/>
  <c r="H13" i="93" s="1"/>
  <c r="J10" i="93" s="1"/>
  <c r="J13" i="93" s="1"/>
  <c r="E13" i="105"/>
  <c r="H9" i="105" s="1"/>
  <c r="F13" i="105"/>
  <c r="F20" i="105" s="1"/>
  <c r="F21" i="105" s="1"/>
  <c r="H13" i="58" s="1"/>
  <c r="H10" i="103"/>
  <c r="D20" i="69"/>
  <c r="L9" i="58"/>
  <c r="G20" i="105"/>
  <c r="I13" i="58" s="1"/>
  <c r="F13" i="58"/>
  <c r="G9" i="58" l="1"/>
  <c r="I55" i="102"/>
  <c r="I54" i="102"/>
  <c r="I14" i="102"/>
  <c r="E20" i="105"/>
  <c r="E21" i="105" s="1"/>
  <c r="G13" i="58" s="1"/>
  <c r="J9" i="103"/>
  <c r="H11" i="103"/>
  <c r="H19" i="105"/>
  <c r="H13" i="105"/>
  <c r="F31" i="102" l="1"/>
  <c r="O14" i="102"/>
  <c r="J10" i="103"/>
  <c r="J11" i="103" s="1"/>
  <c r="M38" i="102"/>
  <c r="N38" i="102"/>
  <c r="M37" i="102"/>
  <c r="N37" i="102"/>
  <c r="J9" i="105"/>
  <c r="H20" i="105"/>
  <c r="H15" i="103"/>
  <c r="H17" i="103" s="1"/>
  <c r="M39" i="102" l="1"/>
  <c r="J54" i="102"/>
  <c r="N54" i="102" s="1"/>
  <c r="O38" i="102"/>
  <c r="J55" i="102"/>
  <c r="N31" i="102"/>
  <c r="I31" i="102"/>
  <c r="H21" i="105"/>
  <c r="J13" i="58" s="1"/>
  <c r="O37" i="102"/>
  <c r="E15" i="103"/>
  <c r="E17" i="103" s="1"/>
  <c r="E19" i="103" s="1"/>
  <c r="E21" i="103" s="1"/>
  <c r="G11" i="58" s="1"/>
  <c r="E16" i="103"/>
  <c r="F16" i="103"/>
  <c r="F15" i="103"/>
  <c r="F17" i="103" s="1"/>
  <c r="F19" i="103" s="1"/>
  <c r="F21" i="103" s="1"/>
  <c r="H11" i="58" s="1"/>
  <c r="J19" i="105"/>
  <c r="J13" i="105"/>
  <c r="H19" i="103"/>
  <c r="H16" i="103"/>
  <c r="L14" i="58"/>
  <c r="J14" i="58"/>
  <c r="I14" i="58"/>
  <c r="F14" i="58"/>
  <c r="V21" i="107"/>
  <c r="U21" i="107"/>
  <c r="T21" i="107"/>
  <c r="T32" i="107" s="1"/>
  <c r="S21" i="107"/>
  <c r="S32" i="107" s="1"/>
  <c r="R21" i="107"/>
  <c r="Q21" i="107"/>
  <c r="P21" i="107"/>
  <c r="O21" i="107"/>
  <c r="O32" i="107" s="1"/>
  <c r="N21" i="107"/>
  <c r="M21" i="107"/>
  <c r="L21" i="107"/>
  <c r="K21" i="107"/>
  <c r="K32" i="107" s="1"/>
  <c r="J21" i="107"/>
  <c r="I21" i="107"/>
  <c r="H21" i="107"/>
  <c r="G21" i="107"/>
  <c r="G32" i="107" s="1"/>
  <c r="F21" i="107"/>
  <c r="V14" i="107"/>
  <c r="V16" i="107" s="1"/>
  <c r="U14" i="107"/>
  <c r="U16" i="107" s="1"/>
  <c r="T14" i="107"/>
  <c r="T16" i="107" s="1"/>
  <c r="S14" i="107"/>
  <c r="S16" i="107" s="1"/>
  <c r="R14" i="107"/>
  <c r="R16" i="107" s="1"/>
  <c r="Q14" i="107"/>
  <c r="Q16" i="107" s="1"/>
  <c r="P14" i="107"/>
  <c r="P16" i="107" s="1"/>
  <c r="O14" i="107"/>
  <c r="O16" i="107" s="1"/>
  <c r="N14" i="107"/>
  <c r="N16" i="107" s="1"/>
  <c r="M14" i="107"/>
  <c r="M16" i="107" s="1"/>
  <c r="L14" i="107"/>
  <c r="L16" i="107" s="1"/>
  <c r="K14" i="107"/>
  <c r="K16" i="107" s="1"/>
  <c r="J14" i="107"/>
  <c r="J16" i="107" s="1"/>
  <c r="I14" i="107"/>
  <c r="I16" i="107" s="1"/>
  <c r="H14" i="107"/>
  <c r="H16" i="107" s="1"/>
  <c r="G14" i="107"/>
  <c r="G16" i="107" s="1"/>
  <c r="F14" i="107"/>
  <c r="F16" i="107" s="1"/>
  <c r="L17" i="58"/>
  <c r="L19" i="58" s="1"/>
  <c r="J17" i="58"/>
  <c r="J19" i="58" s="1"/>
  <c r="I17" i="58"/>
  <c r="I19" i="58" s="1"/>
  <c r="H17" i="58"/>
  <c r="H19" i="58" s="1"/>
  <c r="F17" i="58"/>
  <c r="M54" i="102" l="1"/>
  <c r="O54" i="102" s="1"/>
  <c r="J56" i="102"/>
  <c r="O31" i="102"/>
  <c r="F48" i="102"/>
  <c r="M55" i="102"/>
  <c r="N55" i="102"/>
  <c r="J20" i="105"/>
  <c r="J21" i="105" s="1"/>
  <c r="L13" i="58" s="1"/>
  <c r="G34" i="107"/>
  <c r="O34" i="107"/>
  <c r="S34" i="107"/>
  <c r="K34" i="107"/>
  <c r="T34" i="107"/>
  <c r="G17" i="58"/>
  <c r="G19" i="58" s="1"/>
  <c r="H21" i="103"/>
  <c r="J11" i="58" s="1"/>
  <c r="F19" i="58"/>
  <c r="H32" i="107"/>
  <c r="H34" i="107" s="1"/>
  <c r="L32" i="107"/>
  <c r="L34" i="107" s="1"/>
  <c r="P32" i="107"/>
  <c r="P34" i="107" s="1"/>
  <c r="F32" i="107"/>
  <c r="F34" i="107" s="1"/>
  <c r="J32" i="107"/>
  <c r="J34" i="107" s="1"/>
  <c r="N32" i="107"/>
  <c r="N34" i="107" s="1"/>
  <c r="R32" i="107"/>
  <c r="R34" i="107" s="1"/>
  <c r="V32" i="107"/>
  <c r="V34" i="107" s="1"/>
  <c r="I32" i="107"/>
  <c r="I34" i="107" s="1"/>
  <c r="M32" i="107"/>
  <c r="M34" i="107" s="1"/>
  <c r="Q32" i="107"/>
  <c r="Q34" i="107" s="1"/>
  <c r="U32" i="107"/>
  <c r="U34" i="107" s="1"/>
  <c r="M56" i="102" l="1"/>
  <c r="O55" i="102"/>
  <c r="N48" i="102"/>
  <c r="I48" i="102"/>
  <c r="O48" i="102" s="1"/>
  <c r="J15" i="103"/>
  <c r="J17" i="103" s="1"/>
  <c r="J19" i="103" l="1"/>
  <c r="J21" i="103" s="1"/>
  <c r="L11" i="58" s="1"/>
  <c r="J16" i="103"/>
  <c r="B18" i="58"/>
  <c r="B19" i="58" s="1"/>
  <c r="B50" i="107" l="1"/>
  <c r="B51" i="107" s="1"/>
  <c r="B52"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B10" i="105" l="1"/>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0" i="58"/>
  <c r="B11" i="58" s="1"/>
  <c r="B12" i="58" s="1"/>
  <c r="B13" i="58" s="1"/>
  <c r="B14" i="58" s="1"/>
  <c r="B15" i="58" s="1"/>
  <c r="B7" i="57" l="1"/>
  <c r="B8" i="57" s="1"/>
  <c r="B9" i="57" s="1"/>
  <c r="B10" i="57" s="1"/>
  <c r="B11" i="57" l="1"/>
  <c r="B12" i="57" s="1"/>
  <c r="B13" i="57" s="1"/>
  <c r="B11" i="66"/>
  <c r="B12" i="66" s="1"/>
  <c r="B13" i="66" s="1"/>
  <c r="B26" i="67"/>
  <c r="B27" i="67" s="1"/>
  <c r="B28" i="67" s="1"/>
  <c r="B29" i="67" s="1"/>
  <c r="B14" i="57" l="1"/>
  <c r="B15" i="57" s="1"/>
  <c r="B16" i="57" s="1"/>
  <c r="B17" i="57" s="1"/>
  <c r="B18" i="57" s="1"/>
  <c r="B19" i="57" s="1"/>
  <c r="B20" i="57" s="1"/>
  <c r="B21" i="57" l="1"/>
  <c r="B22" i="57" s="1"/>
  <c r="B23" i="57" s="1"/>
  <c r="B24" i="57" s="1"/>
  <c r="B25" i="57" s="1"/>
  <c r="B26" i="57" s="1"/>
  <c r="F12" i="58"/>
  <c r="I12" i="58"/>
  <c r="I15" i="58" s="1"/>
  <c r="I20" i="58" s="1"/>
  <c r="G17" i="104" s="1"/>
  <c r="F15" i="58" l="1"/>
  <c r="F20" i="58" s="1"/>
  <c r="D17" i="104" s="1"/>
  <c r="I13" i="102"/>
  <c r="I22" i="102" s="1"/>
  <c r="E22" i="102" s="1"/>
  <c r="N13" i="102"/>
  <c r="N22" i="102" s="1"/>
  <c r="F30" i="102" l="1"/>
  <c r="I30" i="102" s="1"/>
  <c r="F47" i="102" s="1"/>
  <c r="O13" i="102"/>
  <c r="F39" i="102" l="1"/>
  <c r="N30" i="102"/>
  <c r="I39" i="102"/>
  <c r="O30" i="102"/>
  <c r="O39" i="102" s="1"/>
  <c r="N39" i="102"/>
  <c r="O22" i="102"/>
  <c r="F56" i="102"/>
  <c r="N47" i="102"/>
  <c r="N56" i="102" s="1"/>
  <c r="I47" i="102"/>
  <c r="E39" i="102" l="1"/>
  <c r="H13" i="104"/>
  <c r="J13" i="104"/>
  <c r="E19" i="69"/>
  <c r="E20" i="69" s="1"/>
  <c r="I56" i="102"/>
  <c r="E56" i="102" s="1"/>
  <c r="O47" i="102"/>
  <c r="O56" i="102" s="1"/>
  <c r="F19" i="69"/>
  <c r="F20" i="69" s="1"/>
  <c r="G12" i="58" l="1"/>
  <c r="H12" i="58"/>
  <c r="J12" i="58"/>
  <c r="L12" i="58"/>
  <c r="G15" i="58"/>
  <c r="H15" i="58"/>
  <c r="J15" i="58"/>
  <c r="L15" i="58"/>
  <c r="G20" i="58"/>
  <c r="H20" i="58"/>
  <c r="J20" i="58"/>
  <c r="L20"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<sst xmlns="http://schemas.openxmlformats.org/spreadsheetml/2006/main" count="1159" uniqueCount="528">
  <si>
    <t>Equity</t>
  </si>
  <si>
    <t>Reference</t>
  </si>
  <si>
    <t>S.No.</t>
  </si>
  <si>
    <t>Actual</t>
  </si>
  <si>
    <t>(Rs. Crore)</t>
  </si>
  <si>
    <t>Estimated</t>
  </si>
  <si>
    <t>Form 1</t>
  </si>
  <si>
    <t>Title</t>
  </si>
  <si>
    <t>Projected</t>
  </si>
  <si>
    <t>…</t>
  </si>
  <si>
    <t>Approved</t>
  </si>
  <si>
    <t>Remarks</t>
  </si>
  <si>
    <t>Audited</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</si>
  <si>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</si>
  <si>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</si>
  <si>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</si>
  <si>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</si>
  <si>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</si>
  <si>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</si>
  <si>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</si>
  <si>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</si>
  <si>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</si>
  <si>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</si>
  <si>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</si>
  <si>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</si>
  <si>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</si>
  <si>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</si>
  <si>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</si>
  <si>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</si>
  <si>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</si>
  <si>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</si>
  <si>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</si>
  <si>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</si>
  <si>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</si>
  <si>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</si>
  <si>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</si>
  <si>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</si>
  <si>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</si>
  <si>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</si>
  <si>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</si>
  <si>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</si>
  <si>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</si>
  <si>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</si>
  <si>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</si>
  <si>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</si>
  <si>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</si>
  <si>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</si>
  <si>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</si>
  <si>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</si>
  <si>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</si>
  <si>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</si>
  <si>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</si>
  <si>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</si>
  <si>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</si>
  <si>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</si>
  <si>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</si>
  <si>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</si>
  <si>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</si>
  <si>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</si>
  <si>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</si>
  <si>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</si>
  <si>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</si>
  <si>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</si>
  <si>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</si>
  <si>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</si>
  <si>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</si>
  <si>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</si>
  <si>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</si>
  <si>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</si>
  <si>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</si>
  <si>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</si>
  <si>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</si>
  <si>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</si>
  <si>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</si>
  <si>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</si>
  <si>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</si>
  <si>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</si>
  <si>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</si>
  <si>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</si>
  <si>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</si>
  <si>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</si>
  <si>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</si>
  <si>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</si>
  <si>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</si>
  <si>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</si>
  <si>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</si>
  <si>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</si>
  <si>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</si>
  <si>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</si>
  <si>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</si>
  <si>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</si>
  <si>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</si>
  <si>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</si>
  <si>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</si>
  <si>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</si>
  <si>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</si>
  <si>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</si>
  <si>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</si>
  <si>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</si>
  <si>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</si>
  <si>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</si>
  <si>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</si>
  <si>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</si>
  <si>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</si>
  <si>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</si>
  <si>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</si>
  <si>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</si>
  <si>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</si>
  <si>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</si>
  <si>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</si>
  <si>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</si>
  <si>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</si>
  <si>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</si>
  <si>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</si>
  <si>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</si>
  <si>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</si>
  <si>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</si>
  <si>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</si>
  <si>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</si>
  <si>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</si>
  <si>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</si>
  <si>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</si>
  <si>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</si>
  <si>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</si>
  <si>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</si>
  <si>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</si>
  <si>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</si>
  <si>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</si>
  <si>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</si>
  <si>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</si>
  <si>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</si>
  <si>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</si>
  <si>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</si>
  <si>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</si>
  <si>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</si>
  <si>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</si>
  <si>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</si>
  <si>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</si>
  <si>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</si>
  <si>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</si>
  <si>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</si>
  <si>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</si>
  <si>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</si>
  <si>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</si>
  <si>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</si>
  <si>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</si>
  <si>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</si>
  <si>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</si>
  <si>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</si>
  <si>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</si>
  <si>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</si>
  <si>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</si>
  <si>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</si>
  <si>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</si>
  <si>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</si>
  <si>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</si>
  <si>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</si>
  <si>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</si>
  <si>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</si>
  <si>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</si>
  <si>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</si>
  <si>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</si>
  <si>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</si>
  <si>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</si>
  <si>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</si>
  <si>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</si>
  <si>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</si>
  <si>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</si>
  <si>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</si>
  <si>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</si>
  <si>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</si>
  <si>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</si>
  <si>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</si>
  <si>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</si>
  <si>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</si>
  <si>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</si>
  <si>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</si>
  <si>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</si>
  <si>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</si>
  <si>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</si>
  <si>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</si>
  <si>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</si>
  <si>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</si>
  <si>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</si>
  <si>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Total Cost</t>
  </si>
  <si>
    <t>Financing of Additional Capitalisation</t>
  </si>
  <si>
    <t>Loan 2</t>
  </si>
  <si>
    <t>Loan 1</t>
  </si>
  <si>
    <t>S. No.</t>
  </si>
  <si>
    <t>Cumulative Availability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</si>
  <si>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</si>
  <si>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</si>
  <si>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</si>
  <si>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</si>
  <si>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</si>
  <si>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</si>
  <si>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</si>
  <si>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</si>
  <si>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</si>
  <si>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</si>
  <si>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</si>
  <si>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</si>
  <si>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</si>
  <si>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</si>
  <si>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</si>
  <si>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</si>
  <si>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</si>
  <si>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</si>
  <si>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</si>
  <si>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</si>
  <si>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</si>
  <si>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</si>
  <si>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</si>
  <si>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</si>
  <si>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</si>
  <si>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</si>
  <si>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</si>
  <si>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</si>
  <si>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</si>
  <si>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</si>
  <si>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</si>
  <si>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</si>
  <si>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</si>
  <si>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</si>
  <si>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</si>
  <si>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</si>
  <si>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</si>
  <si>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</si>
  <si>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</si>
  <si>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</si>
  <si>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</si>
  <si>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</si>
  <si>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</si>
  <si>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</si>
  <si>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</si>
  <si>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</si>
  <si>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</si>
  <si>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</si>
  <si>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FY</t>
  </si>
  <si>
    <t>Name of the work</t>
  </si>
  <si>
    <t>Scope of work</t>
  </si>
  <si>
    <t>Total estimated cost* (Rs. Crore)</t>
  </si>
  <si>
    <t>*</t>
  </si>
  <si>
    <t>Total estimated cost to be supported by documentary evidences like work orders, investment approvals etc.</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</si>
  <si>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</si>
  <si>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</si>
  <si>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</si>
  <si>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</si>
  <si>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</si>
  <si>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</si>
  <si>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</si>
  <si>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</si>
  <si>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</si>
  <si>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</si>
  <si>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</si>
  <si>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</si>
  <si>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</si>
  <si>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</si>
  <si>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</si>
  <si>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</si>
  <si>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</si>
  <si>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</si>
  <si>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</si>
  <si>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</si>
  <si>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</si>
  <si>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</si>
  <si>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</si>
  <si>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</si>
  <si>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</si>
  <si>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</si>
  <si>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</si>
  <si>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</si>
  <si>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</si>
  <si>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</si>
  <si>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</si>
  <si>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</si>
  <si>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</si>
  <si>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</si>
  <si>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</si>
  <si>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</si>
  <si>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</si>
  <si>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</si>
  <si>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</si>
  <si>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</si>
  <si>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</si>
  <si>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</si>
  <si>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</si>
  <si>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</si>
  <si>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</si>
  <si>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</si>
  <si>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</si>
  <si>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</si>
  <si>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</si>
  <si>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</si>
  <si>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</si>
  <si>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</si>
  <si>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Rs.</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</si>
  <si>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</si>
  <si>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</si>
  <si>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</si>
  <si>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</si>
  <si>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</si>
  <si>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</si>
  <si>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</si>
  <si>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</si>
  <si>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</si>
  <si>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</si>
  <si>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</si>
  <si>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</si>
  <si>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</si>
  <si>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</si>
  <si>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</si>
  <si>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</si>
  <si>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</si>
  <si>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</si>
  <si>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</si>
  <si>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</si>
  <si>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</si>
  <si>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</si>
  <si>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</si>
  <si>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</si>
  <si>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</si>
  <si>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</si>
  <si>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</si>
  <si>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</si>
  <si>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</si>
  <si>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</si>
  <si>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</si>
  <si>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</si>
  <si>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</si>
  <si>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</si>
  <si>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</si>
  <si>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</si>
  <si>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</si>
  <si>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</si>
  <si>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</si>
  <si>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</si>
  <si>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</si>
  <si>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</si>
  <si>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</si>
  <si>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</si>
  <si>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</si>
  <si>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</si>
  <si>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</si>
  <si>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</si>
  <si>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</si>
  <si>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</si>
  <si>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</si>
  <si>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</si>
  <si>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</si>
  <si>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</si>
  <si>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</si>
  <si>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</si>
  <si>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</si>
  <si>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</si>
  <si>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</si>
  <si>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</si>
  <si>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</si>
  <si>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</si>
  <si>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</si>
  <si>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</si>
  <si>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</si>
  <si>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</si>
  <si>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</si>
  <si>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</si>
  <si>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</si>
  <si>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</si>
  <si>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</si>
  <si>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</si>
  <si>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</si>
  <si>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</si>
  <si>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</si>
  <si>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</si>
  <si>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</si>
  <si>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</si>
  <si>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</si>
  <si>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</si>
  <si>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</si>
  <si>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</si>
  <si>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</si>
  <si>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</si>
  <si>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</si>
  <si>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</si>
  <si>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</si>
  <si>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</si>
  <si>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</si>
  <si>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</si>
  <si>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MYT/ Tariff Order</t>
  </si>
  <si>
    <t>Adjustment in coal quantity supplied by the coal company (-/+)</t>
  </si>
  <si>
    <r>
      <t>Receivables</t>
    </r>
    <r>
      <rPr>
        <sz val="10"/>
        <rFont val="Arial"/>
        <family val="2"/>
      </rPr>
      <t>1</t>
    </r>
  </si>
  <si>
    <r>
      <t>Payables for Fuels</t>
    </r>
    <r>
      <rPr>
        <sz val="10"/>
        <rFont val="Arial"/>
        <family val="2"/>
      </rPr>
      <t>2</t>
    </r>
  </si>
  <si>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</si>
  <si>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</si>
  <si>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</si>
  <si>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</si>
  <si>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2024-25</t>
  </si>
  <si>
    <t>FY 2025-26</t>
  </si>
  <si>
    <t>KTPS-V</t>
  </si>
  <si>
    <t>Form 2.2: Administrative &amp; General Expenses</t>
  </si>
  <si>
    <t xml:space="preserve">      &lt;KTPS-V&gt;</t>
  </si>
  <si>
    <t>Form 1: Summary Sheet</t>
  </si>
  <si>
    <t>Coal Rate</t>
  </si>
  <si>
    <t>Oil Rate</t>
  </si>
  <si>
    <t>COMPUTERS</t>
  </si>
  <si>
    <t xml:space="preserve">CURRENT CONSUMPTION CHARGES                       </t>
  </si>
  <si>
    <t xml:space="preserve">INCOME FROM SALE OF ASH                           </t>
  </si>
  <si>
    <t xml:space="preserve">INCOME FROM SALE OF COAL REJECTS                  </t>
  </si>
  <si>
    <t xml:space="preserve">INCOME FROM SALE OF SCRAP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</si>
  <si>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</si>
  <si>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</si>
  <si>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</si>
  <si>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</si>
  <si>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</si>
  <si>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</si>
  <si>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</si>
  <si>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</si>
  <si>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</si>
  <si>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</si>
  <si>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</si>
  <si>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</si>
  <si>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</si>
  <si>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</si>
  <si>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Telangana State Power Generation Corporation Limited</t>
  </si>
  <si>
    <t>Kothagudem Thermal Power Station-V &amp; VI Stage</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</si>
  <si>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</si>
  <si>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</si>
  <si>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</si>
  <si>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</si>
  <si>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</si>
  <si>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</si>
  <si>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</si>
  <si>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</si>
  <si>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</si>
  <si>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</si>
  <si>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</si>
  <si>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</si>
  <si>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</si>
  <si>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</si>
  <si>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</si>
  <si>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</si>
  <si>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</si>
  <si>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</si>
  <si>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</si>
  <si>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</si>
  <si>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</si>
  <si>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</si>
  <si>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</si>
  <si>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</si>
  <si>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</si>
  <si>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</si>
  <si>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t>
  </si>
  <si>
    <t>Fuel (savings)/charge year end adjustment</t>
  </si>
  <si>
    <t>Fixed charges reduced prorata to actual capitalisation in case of BTPS</t>
  </si>
  <si>
    <t>TGSPDCL (70.55%)</t>
  </si>
  <si>
    <t>TGNPDCL (29.45%)</t>
  </si>
  <si>
    <t>2x250</t>
  </si>
  <si>
    <t>Non-Pithead</t>
  </si>
  <si>
    <t>28.02.1998</t>
  </si>
  <si>
    <t>Revised Proposal</t>
  </si>
  <si>
    <t>(enclosed as Annexure)</t>
  </si>
  <si>
    <t>True-Up requirement (normative)</t>
  </si>
  <si>
    <t>True-Up requirement (Normative)</t>
  </si>
  <si>
    <t>FY 2026-27</t>
  </si>
  <si>
    <t>FY 2025-6</t>
  </si>
  <si>
    <t>LAND &amp;LAND RIGHTS</t>
  </si>
  <si>
    <t>BUILDINGS</t>
  </si>
  <si>
    <t>LINES AND CABLE NETWORK</t>
  </si>
  <si>
    <t>PLANT AND EQUIPMENT</t>
  </si>
  <si>
    <t>CAPITAL SPARES</t>
  </si>
  <si>
    <t>HYDRAULIC WORKS</t>
  </si>
  <si>
    <t>OTHER CIVIL WORKS</t>
  </si>
  <si>
    <t>VEHICLES</t>
  </si>
  <si>
    <t>FURNITURE &amp; FIXTURES</t>
  </si>
  <si>
    <t>OFFICE EQUIPMENTS</t>
  </si>
  <si>
    <t>INTANGIBLE ASSETS</t>
  </si>
  <si>
    <t xml:space="preserve">PROFIT ON SALE OF FIXED ASSETS                    </t>
  </si>
  <si>
    <t>SBI one year MCLR</t>
  </si>
  <si>
    <t>Month</t>
  </si>
  <si>
    <t>No of days</t>
  </si>
  <si>
    <t>SBI MCLR rate</t>
  </si>
  <si>
    <t>April</t>
  </si>
  <si>
    <t>April-May</t>
  </si>
  <si>
    <t>May-June</t>
  </si>
  <si>
    <t>June-July</t>
  </si>
  <si>
    <t>July-August</t>
  </si>
  <si>
    <t>August-September</t>
  </si>
  <si>
    <t>September-October</t>
  </si>
  <si>
    <t>October-November</t>
  </si>
  <si>
    <t>November-December</t>
  </si>
  <si>
    <t>December-January</t>
  </si>
  <si>
    <t>January-February</t>
  </si>
  <si>
    <t>February-March</t>
  </si>
  <si>
    <t>March</t>
  </si>
  <si>
    <t>HFO</t>
  </si>
  <si>
    <t>LDO</t>
  </si>
  <si>
    <t xml:space="preserve">Oil Consumption </t>
  </si>
  <si>
    <t>Oil Consumption value</t>
  </si>
  <si>
    <t>Oil Consumption rate</t>
  </si>
  <si>
    <t>Apr- Mar</t>
  </si>
  <si>
    <t>Telangana Power Generation Corporation Limited</t>
  </si>
  <si>
    <t>KTPS-V Stage ( 2 X 250 MW)</t>
  </si>
  <si>
    <t>Financial Year (FY 2024-25)</t>
  </si>
  <si>
    <t>Availability during the month</t>
  </si>
  <si>
    <t xml:space="preserve">Actual PLF during the month </t>
  </si>
  <si>
    <t>Non-Tariff Income true-up</t>
  </si>
  <si>
    <t>(Rs. in Crore)</t>
  </si>
  <si>
    <t>(Rs.in  Crore)</t>
  </si>
  <si>
    <t>Name of the package           (BTG, BoP, Civil Works etc.)</t>
  </si>
  <si>
    <t>Capital expenditure during the year     (Rs. Crore)</t>
  </si>
  <si>
    <t>Asset group under which the capitalisation has been accounted                          (Land, Buldings, etc.)</t>
  </si>
  <si>
    <t>2024-25</t>
  </si>
  <si>
    <t>Plant and Machinary</t>
  </si>
  <si>
    <t>KTPS-V Unit-10 APH Modifiation works</t>
  </si>
  <si>
    <t>R&amp;M of I&amp;C System-Unit-9</t>
  </si>
  <si>
    <t>R&amp;M of I&amp;C System-Unit-10</t>
  </si>
  <si>
    <t>2025-26</t>
  </si>
  <si>
    <t>2026-27</t>
  </si>
  <si>
    <t>KTPS Stage-V&amp;VI- Raising of Additional Ash Pond bunds from Ch: 0M to 3200M and Suraram bund from Ch:4400M to Ch:5450M from EL(+) 115.50M to EL(+) 120.50M  including raising of Wells and Spillway  at  Paloncha, Bhadradri-Kothagudem Dist</t>
  </si>
  <si>
    <t>Ash Pond</t>
  </si>
  <si>
    <t xml:space="preserve"> Raising of Additional Ash Pond bunds from EL(+) 115.50M to EL(+) 120.50M  for deposition of ash generated from KTPS-V Stage (2x250 MW) &amp; KTPS-VI Stage (1x500MW)</t>
  </si>
  <si>
    <t>Clause No.22.3</t>
  </si>
  <si>
    <r>
      <t xml:space="preserve">1. The KTPS V &amp; VI Stages (1000 MW) are having ‘3’ Ash Ponds (AB Ash Pond: 350Acres, Additional Ash Pond: 336Acres, C Ash Pond: 150 Acres) for disposal of ash generated from the Unit Nos.9 &amp; 10 (2x250MW) and Unit No.11 (1x500MW). Out of above ‘3’ Ash Ponds, at present, the AB Ash Pond has been serving for disposal of ash generated from the Unit Nos.9 to 11 of KTPS V &amp; VI Stages. Other ‘2’Ash Ponds i.e., Additional Ash Pond &amp; Ash Pond- ‘C’ were got filled up with ash up to its maximum level of EL (+)115.50M &amp; EL (+) 110.00M respectively. The Ash Pond-‘C’ was abandoned during the year-2010 due to heavy seepages and slips occurred on the bunds and ‘Kanuga’ plantation has been taken up in the above Ash Pond area to prevent flying of ash during heavy wind/gale.
2.  Further, certain quantity of ash generated from KTPS-VII Stage (1x800 MW) is being deposited in to the AB Ash pond of KTPS V &amp; VI Stages, due to delay in completion of ongoing bund raising work of Northern Ash Pond-II. By considering the present Ash disposal from KTPS V Stage (2x250 MW), KTPS VI Stage (1x500 MW) and KTPS VII Stage (1x800MW), the AB Ash Pond will cater the Ash disposal requirement up to March-2026. Hence, it is very much essential to raise the bunds of Additional Ash Pond for deposition of ash generated from KTPS-V Stage (2x250 MW) &amp; KTPS-VI Stage (1x500 MW) from April-2026 onwards.         
3. Admiinistrative approval was accorded  to take up the above work  vide </t>
    </r>
    <r>
      <rPr>
        <sz val="11"/>
        <rFont val="Calibri"/>
        <family val="2"/>
        <scheme val="minor"/>
      </rPr>
      <t>T.G.O.O. No.57/CE/C/Thermal/2025,  Dt:10.07.2025.</t>
    </r>
    <r>
      <rPr>
        <sz val="11"/>
        <color rgb="FFFF0000"/>
        <rFont val="Calibri"/>
        <family val="2"/>
        <scheme val="minor"/>
      </rPr>
      <t xml:space="preserve">
</t>
    </r>
    <r>
      <rPr>
        <sz val="11"/>
        <rFont val="Arial"/>
        <family val="2"/>
      </rPr>
      <t xml:space="preserve">
</t>
    </r>
  </si>
  <si>
    <t>BOP</t>
  </si>
  <si>
    <t>Procurement of 2 Nos Bull Dozers, BD-355 Model BEML make to utilize at KTPS-V &amp; VI Stages</t>
  </si>
  <si>
    <t>Plant and Equipment</t>
  </si>
  <si>
    <t>Supply of 2 Nos Bull Dozers along with Coal blades and commissioning at KTPS-V &amp; VI Stages to utilize at CHP/KTPS- V &amp; VI Stages</t>
  </si>
  <si>
    <t>Clause No. 24</t>
  </si>
  <si>
    <t>Only 2 Nos BD-155 dozers are available at KTPS-V &amp; VI Stages and are not sufficient to meet the coal plant works like stacking at UCCY, feeding to bunkers of 1x500MW and 2x250MW units, consolidation of coal at Stacker/ Re-Claimer (CCY) &amp; Stacker/ Re-Claimer (UCCY)etc., Due to which it is essential at least2 Nos. BD-155 dozers to meet the above mentioned works at CHP, KTPS-V &amp;VI Stage. Earlier 2 Nos. BD-355 dozers are diverted from YTPS &amp; KTPS-VII Stages to KTPS-V &amp; VI stages on returnable basis and these dozers are to be returned to YTPS &amp; KTPS-VII Stages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</si>
</sst>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000000"/>
    <numFmt numFmtId="169" formatCode="0.0"/>
    <numFmt numFmtId="170" formatCode="0.000"/>
    <numFmt numFmtId="171" formatCode="0.00000000000"/>
    <numFmt numFmtId="172" formatCode="dd\.mm\.yyyy"/>
    <numFmt numFmtId="173" formatCode="_ * #,##0.000_ ;_ * \-#,##0.000_ ;_ * &quot;-&quot;???_ ;_ @_ "/>
    <numFmt numFmtId="174" formatCode="_(* #,##0.000_);_(* \(#,##0.000\);_(* &quot;-&quot;??_);_(@_)"/>
    <numFmt numFmtId="175" formatCode="_ &quot;రూ&quot;\ * #,##0.00_ ;_ &quot;రూ&quot;\ * \-#,##0.00_ ;_ &quot;రూ&quot;\ * &quot;-&quot;??_ ;_ @_ "/>
    <numFmt numFmtId="176" formatCode="0.000%"/>
    <numFmt numFmtId="177" formatCode="_ * #,##0.0_ ;_ * \-#,##0.0_ ;_ * &quot;-&quot;??_ ;_ @_ "/>
    <numFmt numFmtId="178" formatCode="0.000000"/>
    <numFmt numFmtId="179" formatCode="_ * #,##0.0000_ ;_ * \-#,##0.0000_ ;_ * &quot;-&quot;??_ ;_ @_ "/>
    <numFmt numFmtId="180" formatCode="_ * #,##0.00000_ ;_ * \-#,##0.00000_ ;_ * &quot;-&quot;??_ ;_ @_ "/>
    <numFmt numFmtId="181" formatCode="0.00000000"/>
    <numFmt numFmtId="182" formatCode="0.00000"/>
    <numFmt numFmtId="183" formatCode="0.00000000000000000000"/>
    <numFmt numFmtId="184" formatCode="0.000000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b/>
      <vertAlign val="superscript"/>
      <sz val="11"/>
      <name val="Arial"/>
      <family val="2"/>
    </font>
    <font>
      <b/>
      <sz val="11"/>
      <color theme="1"/>
      <name val="Calibri"/>
      <family val="2"/>
      <scheme val="minor"/>
    </font>
    <font>
      <sz val="13"/>
      <name val="Calibri"/>
      <family val="2"/>
      <scheme val="minor"/>
    </font>
    <font>
      <sz val="10"/>
      <color rgb="FF000000"/>
      <name val="Times New Roman"/>
      <family val="1"/>
    </font>
    <font>
      <sz val="12"/>
      <name val="Calibri"/>
      <family val="2"/>
      <scheme val="minor"/>
    </font>
    <font>
      <b/>
      <sz val="12"/>
      <name val="Calibri"/>
      <family val="2"/>
      <scheme val="minor"/>
    </font>
    <font>
      <sz val="11"/>
      <color indexed="8"/>
      <name val="Arial"/>
      <family val="2"/>
    </font>
    <font>
      <sz val="11"/>
      <color rgb="FFFF0000"/>
      <name val="Calibri"/>
      <family val="2"/>
      <scheme val="minor"/>
    </font>
    <font>
      <b/>
      <sz val="11"/>
      <color rgb="FFFF0000"/>
      <name val="Arial"/>
      <family val="2"/>
    </font>
    <font>
      <b/>
      <sz val="10"/>
      <name val="Arial"/>
      <family val="2"/>
    </font>
    <font>
      <sz val="11"/>
      <name val="Calibri"/>
      <family val="2"/>
      <scheme val="minor"/>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90">
    <xf numFmtId="0" fontId="0" fillId="0" borderId="0"/>
    <xf numFmtId="0" fontId="11" fillId="0" borderId="0" applyNumberFormat="0" applyFill="0" applyBorder="0" applyAlignment="0" applyProtection="0"/>
    <xf numFmtId="0" fontId="12" fillId="0" borderId="1"/>
    <xf numFmtId="0" fontId="12" fillId="0" borderId="1"/>
    <xf numFmtId="38" fontId="13" fillId="2"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10" fontId="13" fillId="3" borderId="4" applyNumberFormat="0" applyBorder="0" applyAlignment="0" applyProtection="0"/>
    <xf numFmtId="37" fontId="15" fillId="0" borderId="0"/>
    <xf numFmtId="166" fontId="16" fillId="0" borderId="0"/>
    <xf numFmtId="0" fontId="10" fillId="0" borderId="0"/>
    <xf numFmtId="0" fontId="10" fillId="0" borderId="0"/>
    <xf numFmtId="0" fontId="8" fillId="0" borderId="0"/>
    <xf numFmtId="0" fontId="8" fillId="0" borderId="0"/>
    <xf numFmtId="0" fontId="10" fillId="0" borderId="0">
      <alignment vertical="center"/>
    </xf>
    <xf numFmtId="167" fontId="10" fillId="0" borderId="0" applyFont="0" applyFill="0" applyBorder="0" applyAlignment="0" applyProtection="0"/>
    <xf numFmtId="10" fontId="10" fillId="0" borderId="0" applyFont="0" applyFill="0" applyBorder="0" applyAlignment="0" applyProtection="0"/>
    <xf numFmtId="0" fontId="10" fillId="0" borderId="0"/>
    <xf numFmtId="0" fontId="18" fillId="0" borderId="0"/>
    <xf numFmtId="43" fontId="18" fillId="0" borderId="0" applyFont="0" applyFill="0" applyBorder="0" applyAlignment="0" applyProtection="0"/>
    <xf numFmtId="9" fontId="18" fillId="0" borderId="0" applyFont="0" applyFill="0" applyBorder="0" applyAlignment="0" applyProtection="0"/>
    <xf numFmtId="165" fontId="19" fillId="0" borderId="0" applyFont="0" applyFill="0" applyBorder="0" applyAlignment="0" applyProtection="0"/>
    <xf numFmtId="0" fontId="20" fillId="0" borderId="0"/>
    <xf numFmtId="9"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164" fontId="19" fillId="0" borderId="0" applyFont="0" applyFill="0" applyBorder="0" applyAlignment="0" applyProtection="0"/>
    <xf numFmtId="0" fontId="10" fillId="0" borderId="0"/>
    <xf numFmtId="0" fontId="10" fillId="0" borderId="0"/>
    <xf numFmtId="0" fontId="10" fillId="0" borderId="0"/>
    <xf numFmtId="0" fontId="10" fillId="0" borderId="0"/>
    <xf numFmtId="0" fontId="18" fillId="0" borderId="0"/>
    <xf numFmtId="0" fontId="19" fillId="0" borderId="0"/>
    <xf numFmtId="0" fontId="19" fillId="0" borderId="0"/>
    <xf numFmtId="0" fontId="18"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0" fillId="0" borderId="0" applyFont="0" applyFill="0" applyBorder="0" applyAlignment="0" applyProtection="0"/>
    <xf numFmtId="9" fontId="19" fillId="0" borderId="0" applyFont="0" applyFill="0" applyBorder="0" applyAlignment="0" applyProtection="0"/>
    <xf numFmtId="43" fontId="21"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0" fontId="10" fillId="0" borderId="0"/>
    <xf numFmtId="0" fontId="10" fillId="0" borderId="0"/>
    <xf numFmtId="0" fontId="8" fillId="0" borderId="0"/>
    <xf numFmtId="0" fontId="10" fillId="0" borderId="0" applyBorder="0" applyProtection="0"/>
    <xf numFmtId="167" fontId="19" fillId="0" borderId="0" applyFont="0" applyFill="0" applyBorder="0" applyAlignment="0" applyProtection="0"/>
    <xf numFmtId="0" fontId="10" fillId="0" borderId="0"/>
    <xf numFmtId="0" fontId="10" fillId="0" borderId="0"/>
    <xf numFmtId="0" fontId="10" fillId="0" borderId="0"/>
    <xf numFmtId="9" fontId="10" fillId="0" borderId="0" applyFont="0" applyFill="0" applyBorder="0" applyAlignment="0" applyProtection="0"/>
    <xf numFmtId="0" fontId="7" fillId="0" borderId="0"/>
    <xf numFmtId="43" fontId="7" fillId="0" borderId="0" applyFont="0" applyFill="0" applyBorder="0" applyAlignment="0" applyProtection="0"/>
    <xf numFmtId="165" fontId="10"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0" fontId="6" fillId="0" borderId="0"/>
    <xf numFmtId="0" fontId="6" fillId="0" borderId="0"/>
    <xf numFmtId="0" fontId="5" fillId="0" borderId="0"/>
    <xf numFmtId="0" fontId="4" fillId="0" borderId="0"/>
    <xf numFmtId="164" fontId="27" fillId="0" borderId="0" applyFont="0" applyFill="0" applyBorder="0" applyAlignment="0" applyProtection="0"/>
    <xf numFmtId="164" fontId="3"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19"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3"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0" fontId="3" fillId="0" borderId="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8"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164" fontId="10" fillId="0" borderId="0" applyFont="0" applyFill="0" applyBorder="0" applyAlignment="0" applyProtection="0"/>
    <xf numFmtId="164" fontId="10" fillId="0" borderId="0" applyFont="0" applyFill="0" applyBorder="0" applyAlignment="0" applyProtection="0"/>
    <xf numFmtId="175" fontId="10" fillId="0" borderId="0" applyFont="0" applyFill="0" applyBorder="0" applyAlignment="0" applyProtection="0"/>
    <xf numFmtId="0" fontId="28" fillId="0" borderId="0" applyNumberFormat="0" applyFill="0" applyBorder="0" applyAlignment="0" applyProtection="0">
      <alignment vertical="top"/>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10" fillId="0" borderId="0" applyFont="0" applyFill="0" applyBorder="0" applyAlignment="0" applyProtection="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175" fontId="10"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72" fontId="10"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72" fontId="10"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29" fillId="0" borderId="0"/>
    <xf numFmtId="0" fontId="29" fillId="0" borderId="0"/>
    <xf numFmtId="0" fontId="3" fillId="0" borderId="0"/>
    <xf numFmtId="0" fontId="29" fillId="0" borderId="0"/>
    <xf numFmtId="0" fontId="3" fillId="0" borderId="0"/>
    <xf numFmtId="0" fontId="3" fillId="0" borderId="0"/>
    <xf numFmtId="0"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xf numFmtId="164" fontId="10" fillId="0" borderId="0" applyFont="0" applyFill="0" applyBorder="0" applyAlignment="0" applyProtection="0"/>
    <xf numFmtId="0" fontId="3" fillId="0" borderId="0"/>
    <xf numFmtId="0" fontId="3" fillId="0" borderId="0" applyFont="0" applyFill="0" applyBorder="0" applyAlignment="0" applyProtection="0"/>
    <xf numFmtId="0" fontId="3" fillId="0" borderId="0" applyFont="0" applyFill="0" applyBorder="0" applyAlignment="0" applyProtection="0"/>
    <xf numFmtId="0" fontId="3" fillId="0" borderId="0"/>
    <xf numFmtId="164" fontId="10"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75" fontId="10" fillId="0" borderId="0" applyFont="0" applyFill="0" applyBorder="0" applyAlignment="0" applyProtection="0"/>
    <xf numFmtId="175"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8"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75" fontId="10" fillId="0" borderId="0" applyFont="0" applyFill="0" applyBorder="0" applyAlignment="0" applyProtection="0"/>
    <xf numFmtId="175" fontId="10" fillId="0" borderId="0" applyFont="0" applyFill="0" applyBorder="0" applyAlignment="0" applyProtection="0"/>
    <xf numFmtId="0" fontId="3" fillId="0" borderId="0"/>
    <xf numFmtId="0" fontId="3" fillId="0" borderId="0"/>
    <xf numFmtId="0" fontId="3" fillId="0" borderId="0"/>
    <xf numFmtId="0" fontId="3" fillId="0" borderId="0" applyFont="0" applyFill="0" applyBorder="0" applyAlignment="0" applyProtection="0"/>
    <xf numFmtId="0" fontId="3" fillId="0" borderId="0" applyFont="0" applyFill="0" applyBorder="0" applyAlignment="0" applyProtection="0"/>
    <xf numFmtId="0" fontId="3" fillId="0" borderId="0"/>
    <xf numFmtId="164" fontId="10" fillId="0" borderId="0" applyFont="0" applyFill="0" applyBorder="0" applyAlignment="0" applyProtection="0"/>
    <xf numFmtId="0" fontId="3" fillId="0" borderId="0"/>
    <xf numFmtId="0" fontId="3" fillId="0" borderId="0"/>
    <xf numFmtId="0"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xf numFmtId="0" fontId="3" fillId="0" borderId="0" applyFont="0" applyFill="0" applyBorder="0" applyAlignment="0" applyProtection="0"/>
    <xf numFmtId="0" fontId="29" fillId="0" borderId="0"/>
    <xf numFmtId="0" fontId="3" fillId="0" borderId="0" applyFont="0" applyFill="0" applyBorder="0" applyAlignment="0" applyProtection="0"/>
    <xf numFmtId="0" fontId="3" fillId="0" borderId="0"/>
    <xf numFmtId="0" fontId="29"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applyFont="0" applyFill="0" applyBorder="0" applyAlignment="0" applyProtection="0"/>
    <xf numFmtId="164" fontId="10" fillId="0" borderId="0" applyFont="0" applyFill="0" applyBorder="0" applyAlignment="0" applyProtection="0"/>
    <xf numFmtId="0" fontId="3" fillId="0" borderId="0"/>
    <xf numFmtId="0" fontId="10" fillId="0" borderId="0"/>
    <xf numFmtId="0" fontId="3" fillId="0" borderId="0"/>
    <xf numFmtId="0" fontId="3" fillId="0" borderId="0"/>
    <xf numFmtId="175" fontId="10" fillId="0" borderId="0" applyFont="0" applyFill="0" applyBorder="0" applyAlignment="0" applyProtection="0"/>
    <xf numFmtId="0" fontId="3" fillId="0" borderId="0"/>
    <xf numFmtId="0" fontId="3" fillId="0" borderId="0"/>
    <xf numFmtId="0" fontId="3" fillId="0" borderId="0"/>
    <xf numFmtId="164" fontId="10" fillId="0" borderId="0" applyFont="0" applyFill="0" applyBorder="0" applyAlignment="0" applyProtection="0"/>
    <xf numFmtId="0" fontId="3" fillId="0" borderId="0"/>
    <xf numFmtId="8" fontId="10" fillId="0" borderId="0" applyFont="0" applyFill="0" applyBorder="0" applyAlignment="0" applyProtection="0"/>
    <xf numFmtId="0" fontId="3" fillId="0" borderId="0"/>
    <xf numFmtId="164" fontId="10" fillId="0" borderId="0" applyFont="0" applyFill="0" applyBorder="0" applyAlignment="0" applyProtection="0"/>
    <xf numFmtId="0" fontId="3" fillId="0" borderId="0"/>
    <xf numFmtId="0" fontId="3" fillId="0" borderId="0"/>
    <xf numFmtId="164" fontId="10" fillId="0" borderId="0" applyFont="0" applyFill="0" applyBorder="0" applyAlignment="0" applyProtection="0"/>
    <xf numFmtId="164" fontId="10" fillId="0" borderId="0" applyFont="0" applyFill="0" applyBorder="0" applyAlignment="0" applyProtection="0"/>
    <xf numFmtId="0" fontId="10" fillId="0" borderId="0" applyFont="0" applyFill="0" applyBorder="0" applyAlignment="0" applyProtection="0"/>
    <xf numFmtId="164" fontId="10"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164" fontId="10" fillId="0" borderId="0" applyFont="0" applyFill="0" applyBorder="0" applyAlignment="0" applyProtection="0"/>
    <xf numFmtId="0" fontId="3" fillId="0" borderId="0"/>
    <xf numFmtId="8" fontId="10" fillId="0" borderId="0" applyFont="0" applyFill="0" applyBorder="0" applyAlignment="0" applyProtection="0"/>
    <xf numFmtId="0" fontId="3" fillId="0" borderId="0"/>
    <xf numFmtId="164" fontId="10" fillId="0" borderId="0" applyFont="0" applyFill="0" applyBorder="0" applyAlignment="0" applyProtection="0"/>
    <xf numFmtId="0" fontId="3" fillId="0" borderId="0"/>
    <xf numFmtId="0" fontId="3" fillId="0" borderId="0"/>
    <xf numFmtId="164" fontId="10" fillId="0" borderId="0" applyFont="0" applyFill="0" applyBorder="0" applyAlignment="0" applyProtection="0"/>
    <xf numFmtId="164" fontId="10" fillId="0" borderId="0" applyFont="0" applyFill="0" applyBorder="0" applyAlignment="0" applyProtection="0"/>
    <xf numFmtId="0" fontId="10" fillId="0" borderId="0" applyFont="0" applyFill="0" applyBorder="0" applyAlignment="0" applyProtection="0"/>
    <xf numFmtId="164" fontId="10"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164" fontId="10" fillId="0" borderId="0" applyFont="0" applyFill="0" applyBorder="0" applyAlignment="0" applyProtection="0"/>
    <xf numFmtId="0" fontId="3" fillId="0" borderId="0"/>
    <xf numFmtId="8" fontId="10" fillId="0" borderId="0" applyFont="0" applyFill="0" applyBorder="0" applyAlignment="0" applyProtection="0"/>
    <xf numFmtId="164" fontId="10" fillId="0" borderId="0" applyFont="0" applyFill="0" applyBorder="0" applyAlignment="0" applyProtection="0"/>
    <xf numFmtId="0" fontId="3" fillId="0" borderId="0"/>
    <xf numFmtId="164" fontId="10" fillId="0" borderId="0" applyFont="0" applyFill="0" applyBorder="0" applyAlignment="0" applyProtection="0"/>
    <xf numFmtId="164" fontId="10" fillId="0" borderId="0" applyFont="0" applyFill="0" applyBorder="0" applyAlignment="0" applyProtection="0"/>
    <xf numFmtId="0" fontId="10" fillId="0" borderId="0" applyFont="0" applyFill="0" applyBorder="0" applyAlignment="0" applyProtection="0"/>
    <xf numFmtId="164" fontId="10"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164" fontId="10" fillId="0" borderId="0" applyFont="0" applyFill="0" applyBorder="0" applyAlignment="0" applyProtection="0"/>
    <xf numFmtId="0" fontId="3" fillId="0" borderId="0"/>
    <xf numFmtId="8" fontId="10" fillId="0" borderId="0" applyFont="0" applyFill="0" applyBorder="0" applyAlignment="0" applyProtection="0"/>
    <xf numFmtId="164" fontId="10" fillId="0" borderId="0" applyFont="0" applyFill="0" applyBorder="0" applyAlignment="0" applyProtection="0"/>
    <xf numFmtId="0" fontId="3" fillId="0" borderId="0"/>
    <xf numFmtId="164" fontId="10" fillId="0" borderId="0" applyFont="0" applyFill="0" applyBorder="0" applyAlignment="0" applyProtection="0"/>
    <xf numFmtId="164" fontId="10" fillId="0" borderId="0" applyFont="0" applyFill="0" applyBorder="0" applyAlignment="0" applyProtection="0"/>
    <xf numFmtId="0" fontId="10" fillId="0" borderId="0" applyFont="0" applyFill="0" applyBorder="0" applyAlignment="0" applyProtection="0"/>
    <xf numFmtId="0" fontId="3" fillId="0" borderId="0"/>
    <xf numFmtId="0" fontId="10" fillId="0" borderId="0"/>
    <xf numFmtId="0" fontId="3" fillId="0" borderId="0"/>
    <xf numFmtId="0" fontId="3" fillId="0" borderId="0"/>
    <xf numFmtId="164" fontId="10" fillId="0" borderId="0" applyFont="0" applyFill="0" applyBorder="0" applyAlignment="0" applyProtection="0"/>
    <xf numFmtId="0" fontId="3" fillId="0" borderId="0"/>
    <xf numFmtId="0" fontId="3" fillId="0" borderId="0"/>
    <xf numFmtId="0" fontId="3" fillId="0" borderId="0"/>
    <xf numFmtId="8" fontId="10" fillId="0" borderId="0" applyFont="0" applyFill="0" applyBorder="0" applyAlignment="0" applyProtection="0"/>
    <xf numFmtId="164" fontId="10" fillId="0" borderId="0" applyFont="0" applyFill="0" applyBorder="0" applyAlignment="0" applyProtection="0"/>
    <xf numFmtId="0" fontId="3" fillId="0" borderId="0"/>
    <xf numFmtId="164" fontId="10" fillId="0" borderId="0" applyFont="0" applyFill="0" applyBorder="0" applyAlignment="0" applyProtection="0"/>
    <xf numFmtId="0" fontId="10" fillId="0" borderId="0"/>
    <xf numFmtId="0" fontId="3" fillId="0" borderId="0"/>
    <xf numFmtId="0" fontId="3" fillId="0" borderId="0"/>
    <xf numFmtId="0" fontId="3" fillId="0" borderId="0"/>
    <xf numFmtId="0" fontId="3"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9"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0" fontId="10" fillId="0" borderId="0"/>
    <xf numFmtId="0" fontId="10" fillId="0" borderId="0"/>
    <xf numFmtId="164" fontId="1" fillId="0" borderId="0" applyFont="0" applyFill="0" applyBorder="0" applyAlignment="0" applyProtection="0"/>
    <xf numFmtId="0" fontId="33"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33" fillId="0" borderId="0"/>
    <xf numFmtId="0" fontId="10" fillId="0" borderId="0"/>
    <xf numFmtId="0" fontId="10" fillId="0" borderId="0"/>
    <xf numFmtId="0" fontId="10"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cellStyleXfs>
  <cellXfs count="389">
    <xf numFmtId="0" fontId="0" fillId="0" borderId="0" xfId="0"/>
    <xf numFmtId="0" fontId="9" fillId="0" borderId="0" xfId="10" applyFont="1" applyAlignment="1">
      <alignment horizontal="center" vertical="center"/>
    </xf>
    <xf numFmtId="0" fontId="17" fillId="0" borderId="4" xfId="14" applyFont="1" applyBorder="1" applyAlignment="1">
      <alignment horizontal="center" vertical="center"/>
    </xf>
    <xf numFmtId="0" fontId="17" fillId="0" borderId="4" xfId="14" applyFont="1" applyBorder="1">
      <alignment vertical="center"/>
    </xf>
    <xf numFmtId="0" fontId="17" fillId="0" borderId="0" xfId="10" applyFont="1"/>
    <xf numFmtId="0" fontId="17" fillId="0" borderId="0" xfId="10" applyFont="1" applyAlignment="1">
      <alignment vertical="center"/>
    </xf>
    <xf numFmtId="0" fontId="9" fillId="0" borderId="0" xfId="14" applyFont="1">
      <alignment vertical="center"/>
    </xf>
    <xf numFmtId="0" fontId="9" fillId="0" borderId="4" xfId="14" applyFont="1" applyBorder="1" applyAlignment="1">
      <alignment horizontal="center" vertical="center"/>
    </xf>
    <xf numFmtId="0" fontId="9" fillId="0" borderId="4" xfId="14" applyFont="1" applyBorder="1" applyAlignment="1">
      <alignment horizontal="left" vertical="center"/>
    </xf>
    <xf numFmtId="0" fontId="9" fillId="0" borderId="4" xfId="14" applyFont="1" applyBorder="1" applyAlignment="1">
      <alignment vertical="top" wrapText="1"/>
    </xf>
    <xf numFmtId="0" fontId="9" fillId="0" borderId="0" xfId="10" applyFont="1"/>
    <xf numFmtId="0" fontId="14" fillId="0" borderId="8" xfId="14" applyFont="1" applyBorder="1" applyAlignment="1">
      <alignment horizontal="center" vertical="center"/>
    </xf>
    <xf numFmtId="0" fontId="14" fillId="0" borderId="4" xfId="14" applyFont="1" applyBorder="1" applyAlignment="1">
      <alignment horizontal="center" vertical="center"/>
    </xf>
    <xf numFmtId="0" fontId="17" fillId="0" borderId="0" xfId="14" applyFont="1">
      <alignment vertical="center"/>
    </xf>
    <xf numFmtId="0" fontId="22" fillId="0" borderId="4" xfId="14" applyFont="1" applyBorder="1" applyAlignment="1">
      <alignment horizontal="center" vertical="center"/>
    </xf>
    <xf numFmtId="0" fontId="22" fillId="0" borderId="4" xfId="14" applyFont="1" applyBorder="1" applyAlignment="1">
      <alignment horizontal="center" vertical="center" wrapText="1"/>
    </xf>
    <xf numFmtId="0" fontId="17" fillId="0" borderId="4" xfId="14" applyFont="1" applyBorder="1" applyAlignment="1">
      <alignment horizontal="left" vertical="center"/>
    </xf>
    <xf numFmtId="0" fontId="17" fillId="5" borderId="4" xfId="14" applyFont="1" applyFill="1" applyBorder="1" applyAlignment="1">
      <alignment horizontal="left" vertical="center"/>
    </xf>
    <xf numFmtId="0" fontId="17" fillId="0" borderId="4" xfId="14" applyFont="1" applyBorder="1" applyAlignment="1">
      <alignment vertical="top" wrapText="1"/>
    </xf>
    <xf numFmtId="0" fontId="22" fillId="0" borderId="4" xfId="14" applyFont="1" applyBorder="1">
      <alignment vertical="center"/>
    </xf>
    <xf numFmtId="0" fontId="17" fillId="0" borderId="4" xfId="10" applyFont="1" applyBorder="1" applyAlignment="1">
      <alignment horizontal="center" vertical="center"/>
    </xf>
    <xf numFmtId="0" fontId="17" fillId="0" borderId="4" xfId="10" applyFont="1" applyBorder="1" applyAlignment="1">
      <alignment horizontal="center" vertical="center" wrapText="1"/>
    </xf>
    <xf numFmtId="0" fontId="22" fillId="0" borderId="7" xfId="10" applyFont="1" applyBorder="1" applyAlignment="1">
      <alignment horizontal="center" vertical="center" wrapText="1"/>
    </xf>
    <xf numFmtId="0" fontId="22" fillId="0" borderId="4" xfId="10" applyFont="1" applyBorder="1" applyAlignment="1">
      <alignment horizontal="center" vertical="center"/>
    </xf>
    <xf numFmtId="0" fontId="22" fillId="0" borderId="0" xfId="10" applyFont="1" applyAlignment="1">
      <alignment horizontal="left" vertical="center"/>
    </xf>
    <xf numFmtId="0" fontId="22" fillId="0" borderId="0" xfId="10" applyFont="1" applyAlignment="1">
      <alignment horizontal="right" vertical="center"/>
    </xf>
    <xf numFmtId="0" fontId="22" fillId="0" borderId="0" xfId="14" applyFont="1" applyAlignment="1">
      <alignment horizontal="right" vertical="center"/>
    </xf>
    <xf numFmtId="0" fontId="17" fillId="0" borderId="4" xfId="10" applyFont="1" applyBorder="1" applyAlignment="1">
      <alignment vertical="center"/>
    </xf>
    <xf numFmtId="0" fontId="17" fillId="0" borderId="4" xfId="0" applyFont="1" applyBorder="1" applyAlignment="1">
      <alignment vertical="center"/>
    </xf>
    <xf numFmtId="0" fontId="17" fillId="0" borderId="4" xfId="10" applyFont="1" applyBorder="1" applyAlignment="1">
      <alignment horizontal="left" vertical="center"/>
    </xf>
    <xf numFmtId="0" fontId="22" fillId="0" borderId="4" xfId="10" applyFont="1" applyBorder="1" applyAlignment="1">
      <alignment horizontal="left" vertical="center" wrapText="1"/>
    </xf>
    <xf numFmtId="0" fontId="22" fillId="0" borderId="4" xfId="10" applyFont="1" applyBorder="1" applyAlignment="1">
      <alignment horizontal="center" vertical="center" wrapText="1"/>
    </xf>
    <xf numFmtId="0" fontId="22" fillId="0" borderId="0" xfId="10" applyFont="1" applyAlignment="1">
      <alignment vertical="center"/>
    </xf>
    <xf numFmtId="0" fontId="22" fillId="0" borderId="0" xfId="14" applyFont="1" applyAlignment="1">
      <alignment horizontal="center" vertical="center"/>
    </xf>
    <xf numFmtId="0" fontId="17" fillId="0" borderId="0" xfId="10" applyFont="1" applyAlignment="1">
      <alignment horizontal="center" vertical="center"/>
    </xf>
    <xf numFmtId="0" fontId="22" fillId="0" borderId="0" xfId="10" applyFont="1" applyAlignment="1">
      <alignment horizontal="center" vertical="center"/>
    </xf>
    <xf numFmtId="0" fontId="22" fillId="0" borderId="0" xfId="14" applyFont="1">
      <alignment vertical="center"/>
    </xf>
    <xf numFmtId="0" fontId="17" fillId="0" borderId="4" xfId="10" applyFont="1" applyBorder="1" applyAlignment="1">
      <alignment horizontal="left" vertical="center" wrapText="1"/>
    </xf>
    <xf numFmtId="0" fontId="22" fillId="0" borderId="0" xfId="14" applyFont="1" applyAlignment="1">
      <alignment horizontal="center" vertical="center" wrapText="1"/>
    </xf>
    <xf numFmtId="0" fontId="22" fillId="0" borderId="4" xfId="10" applyFont="1" applyBorder="1" applyAlignment="1">
      <alignment vertical="center"/>
    </xf>
    <xf numFmtId="0" fontId="17" fillId="0" borderId="4" xfId="10" applyFont="1" applyBorder="1" applyAlignment="1">
      <alignment horizontal="right" vertical="center"/>
    </xf>
    <xf numFmtId="0" fontId="22" fillId="0" borderId="0" xfId="10" applyFont="1" applyAlignment="1">
      <alignment horizontal="centerContinuous"/>
    </xf>
    <xf numFmtId="0" fontId="17" fillId="0" borderId="0" xfId="10" applyFont="1" applyAlignment="1">
      <alignment horizontal="centerContinuous"/>
    </xf>
    <xf numFmtId="0" fontId="17" fillId="0" borderId="4" xfId="10" applyFont="1" applyBorder="1"/>
    <xf numFmtId="0" fontId="22" fillId="0" borderId="4" xfId="10" applyFont="1" applyBorder="1"/>
    <xf numFmtId="0" fontId="22" fillId="0" borderId="0" xfId="10" applyFont="1" applyAlignment="1">
      <alignment horizontal="justify" vertical="top" wrapText="1"/>
    </xf>
    <xf numFmtId="0" fontId="17" fillId="0" borderId="0" xfId="10" applyFont="1" applyAlignment="1">
      <alignment horizontal="left"/>
    </xf>
    <xf numFmtId="0" fontId="17" fillId="0" borderId="4" xfId="10" applyFont="1" applyBorder="1" applyAlignment="1">
      <alignment wrapText="1"/>
    </xf>
    <xf numFmtId="0" fontId="17" fillId="0" borderId="0" xfId="10" applyFont="1" applyAlignment="1">
      <alignment horizontal="left" vertical="center"/>
    </xf>
    <xf numFmtId="0" fontId="17" fillId="0" borderId="0" xfId="10" applyFont="1" applyAlignment="1">
      <alignment horizontal="right" vertical="center"/>
    </xf>
    <xf numFmtId="0" fontId="23" fillId="0" borderId="0" xfId="10" applyFont="1" applyAlignment="1">
      <alignment horizontal="left" vertical="center"/>
    </xf>
    <xf numFmtId="0" fontId="23" fillId="0" borderId="0" xfId="10" applyFont="1" applyAlignment="1">
      <alignment vertical="center"/>
    </xf>
    <xf numFmtId="0" fontId="23" fillId="0" borderId="0" xfId="10" applyFont="1" applyAlignment="1">
      <alignment horizontal="center" vertical="center"/>
    </xf>
    <xf numFmtId="0" fontId="17" fillId="0" borderId="4" xfId="10" quotePrefix="1" applyFont="1" applyBorder="1" applyAlignment="1">
      <alignment horizontal="left" vertical="top" wrapText="1"/>
    </xf>
    <xf numFmtId="0" fontId="17" fillId="0" borderId="4" xfId="10" applyFont="1" applyBorder="1" applyAlignment="1">
      <alignment horizontal="left"/>
    </xf>
    <xf numFmtId="0" fontId="22" fillId="0" borderId="4" xfId="10" applyFont="1" applyBorder="1" applyAlignment="1">
      <alignment horizontal="left"/>
    </xf>
    <xf numFmtId="0" fontId="17" fillId="0" borderId="0" xfId="14" applyFont="1" applyAlignment="1">
      <alignment horizontal="center" vertical="center"/>
    </xf>
    <xf numFmtId="0" fontId="17" fillId="0" borderId="4" xfId="10" applyFont="1" applyBorder="1" applyAlignment="1">
      <alignment horizontal="left" vertical="top" wrapText="1"/>
    </xf>
    <xf numFmtId="0" fontId="22" fillId="0" borderId="0" xfId="10" applyFont="1" applyAlignment="1">
      <alignment horizontal="left"/>
    </xf>
    <xf numFmtId="0" fontId="22" fillId="0" borderId="0" xfId="10" applyFont="1" applyAlignment="1">
      <alignment horizontal="right"/>
    </xf>
    <xf numFmtId="0" fontId="22" fillId="0" borderId="0" xfId="10" applyFont="1" applyAlignment="1">
      <alignment horizontal="left" vertical="center" wrapText="1"/>
    </xf>
    <xf numFmtId="0" fontId="22" fillId="0" borderId="0" xfId="10" applyFont="1" applyAlignment="1">
      <alignment horizontal="center" vertical="center" wrapText="1"/>
    </xf>
    <xf numFmtId="0" fontId="17" fillId="0" borderId="7" xfId="10" applyFont="1" applyBorder="1" applyAlignment="1">
      <alignment horizontal="center" vertical="center"/>
    </xf>
    <xf numFmtId="0" fontId="23" fillId="0" borderId="0" xfId="10" applyFont="1" applyAlignment="1">
      <alignment horizontal="right" vertical="center"/>
    </xf>
    <xf numFmtId="0" fontId="17" fillId="0" borderId="0" xfId="10" applyFont="1" applyAlignment="1">
      <alignment horizontal="center"/>
    </xf>
    <xf numFmtId="0" fontId="22" fillId="4" borderId="13" xfId="67" applyFont="1" applyFill="1" applyBorder="1" applyAlignment="1">
      <alignment horizontal="center" vertical="center" wrapText="1"/>
    </xf>
    <xf numFmtId="0" fontId="22" fillId="4" borderId="14" xfId="67" applyFont="1" applyFill="1" applyBorder="1" applyAlignment="1">
      <alignment horizontal="center" vertical="center" wrapText="1"/>
    </xf>
    <xf numFmtId="0" fontId="14" fillId="0" borderId="0" xfId="14" applyFont="1" applyAlignment="1">
      <alignment horizontal="center" vertical="center"/>
    </xf>
    <xf numFmtId="0" fontId="22" fillId="0" borderId="6" xfId="14" applyFont="1" applyBorder="1" applyAlignment="1">
      <alignment horizontal="center" vertical="center" wrapText="1"/>
    </xf>
    <xf numFmtId="0" fontId="17" fillId="0" borderId="4" xfId="10" applyFont="1" applyBorder="1" applyAlignment="1">
      <alignment vertical="center" wrapText="1"/>
    </xf>
    <xf numFmtId="0" fontId="22" fillId="0" borderId="4" xfId="10" applyFont="1" applyBorder="1" applyAlignment="1">
      <alignment vertical="center" wrapText="1"/>
    </xf>
    <xf numFmtId="0" fontId="22" fillId="4" borderId="4" xfId="14" applyFont="1" applyFill="1" applyBorder="1" applyAlignment="1">
      <alignment horizontal="center" vertical="center" wrapText="1"/>
    </xf>
    <xf numFmtId="0" fontId="22" fillId="0" borderId="0" xfId="10" applyFont="1" applyAlignment="1">
      <alignment horizontal="centerContinuous" vertical="center"/>
    </xf>
    <xf numFmtId="0" fontId="17" fillId="0" borderId="0" xfId="10" applyFont="1" applyAlignment="1">
      <alignment horizontal="centerContinuous" vertical="center"/>
    </xf>
    <xf numFmtId="0" fontId="22" fillId="4" borderId="4" xfId="10" quotePrefix="1" applyFont="1" applyFill="1" applyBorder="1" applyAlignment="1">
      <alignment horizontal="center" vertical="center" wrapText="1"/>
    </xf>
    <xf numFmtId="0" fontId="22" fillId="4" borderId="4" xfId="10" applyFont="1" applyFill="1" applyBorder="1" applyAlignment="1">
      <alignment horizontal="left" vertical="center" wrapText="1"/>
    </xf>
    <xf numFmtId="0" fontId="22" fillId="4" borderId="4" xfId="10" applyFont="1" applyFill="1" applyBorder="1" applyAlignment="1">
      <alignment horizontal="center" vertical="center"/>
    </xf>
    <xf numFmtId="0" fontId="17" fillId="4" borderId="4" xfId="14" applyFont="1" applyFill="1" applyBorder="1">
      <alignment vertical="center"/>
    </xf>
    <xf numFmtId="0" fontId="17" fillId="4" borderId="4" xfId="10" applyFont="1" applyFill="1" applyBorder="1" applyAlignment="1">
      <alignment horizontal="center" vertical="center"/>
    </xf>
    <xf numFmtId="0" fontId="17" fillId="4" borderId="4" xfId="10" applyFont="1" applyFill="1" applyBorder="1" applyAlignment="1">
      <alignment vertical="center" wrapText="1"/>
    </xf>
    <xf numFmtId="0" fontId="22" fillId="4" borderId="4" xfId="10" applyFont="1" applyFill="1" applyBorder="1" applyAlignment="1">
      <alignment vertical="center" wrapText="1"/>
    </xf>
    <xf numFmtId="0" fontId="17" fillId="4" borderId="4" xfId="10" applyFont="1" applyFill="1" applyBorder="1" applyAlignment="1">
      <alignment vertical="center"/>
    </xf>
    <xf numFmtId="0" fontId="22" fillId="4" borderId="0" xfId="10" applyFont="1" applyFill="1" applyAlignment="1">
      <alignment vertical="center"/>
    </xf>
    <xf numFmtId="0" fontId="17" fillId="4" borderId="0" xfId="10" applyFont="1" applyFill="1" applyAlignment="1">
      <alignment vertical="center"/>
    </xf>
    <xf numFmtId="166" fontId="17" fillId="0" borderId="0" xfId="10" applyNumberFormat="1" applyFont="1" applyAlignment="1">
      <alignment vertical="center"/>
    </xf>
    <xf numFmtId="0" fontId="22" fillId="0" borderId="0" xfId="14" applyFont="1" applyAlignment="1">
      <alignment horizontal="left" vertical="center" wrapText="1"/>
    </xf>
    <xf numFmtId="0" fontId="17" fillId="0" borderId="0" xfId="0" applyFont="1" applyAlignment="1">
      <alignment vertical="center"/>
    </xf>
    <xf numFmtId="0" fontId="22" fillId="0" borderId="4" xfId="0" applyFont="1" applyBorder="1" applyAlignment="1">
      <alignment horizontal="center" vertical="center"/>
    </xf>
    <xf numFmtId="0" fontId="17" fillId="0" borderId="4" xfId="0" applyFont="1" applyBorder="1" applyAlignment="1">
      <alignment horizontal="center" vertical="center"/>
    </xf>
    <xf numFmtId="0" fontId="22" fillId="0" borderId="4" xfId="0" applyFont="1" applyBorder="1" applyAlignment="1">
      <alignment vertical="center"/>
    </xf>
    <xf numFmtId="0" fontId="24" fillId="0" borderId="4" xfId="0" applyFont="1" applyBorder="1" applyAlignment="1">
      <alignment vertical="center"/>
    </xf>
    <xf numFmtId="0" fontId="24" fillId="0" borderId="7" xfId="0" applyFont="1" applyBorder="1" applyAlignment="1">
      <alignment vertical="center"/>
    </xf>
    <xf numFmtId="0" fontId="25" fillId="0" borderId="4" xfId="0" applyFont="1" applyBorder="1" applyAlignment="1">
      <alignment horizontal="center" vertical="center"/>
    </xf>
    <xf numFmtId="0" fontId="24" fillId="0" borderId="4" xfId="0" applyFont="1" applyBorder="1" applyAlignment="1">
      <alignment horizontal="center" vertical="center"/>
    </xf>
    <xf numFmtId="0" fontId="24" fillId="0" borderId="7" xfId="0" applyFont="1" applyBorder="1" applyAlignment="1">
      <alignment horizontal="center" vertical="center"/>
    </xf>
    <xf numFmtId="0" fontId="26" fillId="0" borderId="0" xfId="10" applyFont="1" applyAlignment="1">
      <alignment vertical="center"/>
    </xf>
    <xf numFmtId="2" fontId="17" fillId="0" borderId="4" xfId="0" applyNumberFormat="1" applyFont="1" applyBorder="1" applyAlignment="1">
      <alignment vertical="center"/>
    </xf>
    <xf numFmtId="1" fontId="17" fillId="0" borderId="4" xfId="0" applyNumberFormat="1" applyFont="1" applyBorder="1" applyAlignment="1">
      <alignment vertical="center"/>
    </xf>
    <xf numFmtId="2" fontId="22" fillId="0" borderId="4" xfId="0" applyNumberFormat="1" applyFont="1" applyBorder="1" applyAlignment="1">
      <alignment vertical="center"/>
    </xf>
    <xf numFmtId="2" fontId="17" fillId="0" borderId="4" xfId="10" applyNumberFormat="1" applyFont="1" applyBorder="1" applyAlignment="1">
      <alignment horizontal="center" vertical="center"/>
    </xf>
    <xf numFmtId="2" fontId="22" fillId="6" borderId="4" xfId="0" applyNumberFormat="1" applyFont="1" applyFill="1" applyBorder="1" applyAlignment="1">
      <alignment vertical="center"/>
    </xf>
    <xf numFmtId="2" fontId="22" fillId="0" borderId="4" xfId="10" applyNumberFormat="1" applyFont="1" applyBorder="1" applyAlignment="1">
      <alignment horizontal="center" vertical="center" wrapText="1"/>
    </xf>
    <xf numFmtId="2" fontId="17" fillId="0" borderId="4" xfId="10" applyNumberFormat="1" applyFont="1" applyBorder="1" applyAlignment="1">
      <alignment horizontal="center" vertical="center" wrapText="1"/>
    </xf>
    <xf numFmtId="2" fontId="22" fillId="6" borderId="4" xfId="14" applyNumberFormat="1" applyFont="1" applyFill="1" applyBorder="1">
      <alignment vertical="center"/>
    </xf>
    <xf numFmtId="2" fontId="22" fillId="6" borderId="9" xfId="14" applyNumberFormat="1" applyFont="1" applyFill="1" applyBorder="1">
      <alignment vertical="center"/>
    </xf>
    <xf numFmtId="2" fontId="17" fillId="0" borderId="4" xfId="10" applyNumberFormat="1" applyFont="1" applyBorder="1" applyAlignment="1">
      <alignment vertical="center"/>
    </xf>
    <xf numFmtId="2" fontId="17" fillId="0" borderId="4" xfId="14" applyNumberFormat="1" applyFont="1" applyBorder="1" applyAlignment="1">
      <alignment horizontal="center" vertical="center"/>
    </xf>
    <xf numFmtId="2" fontId="22" fillId="6" borderId="4" xfId="14" applyNumberFormat="1" applyFont="1" applyFill="1" applyBorder="1" applyAlignment="1">
      <alignment horizontal="center" vertical="center"/>
    </xf>
    <xf numFmtId="10" fontId="22" fillId="6" borderId="4" xfId="14" applyNumberFormat="1" applyFont="1" applyFill="1" applyBorder="1">
      <alignment vertical="center"/>
    </xf>
    <xf numFmtId="2" fontId="22" fillId="6" borderId="4" xfId="10" applyNumberFormat="1" applyFont="1" applyFill="1" applyBorder="1"/>
    <xf numFmtId="2" fontId="17" fillId="0" borderId="4" xfId="10" applyNumberFormat="1" applyFont="1" applyBorder="1" applyAlignment="1">
      <alignment horizontal="right" vertical="center"/>
    </xf>
    <xf numFmtId="2" fontId="22" fillId="0" borderId="4" xfId="14" applyNumberFormat="1" applyFont="1" applyBorder="1" applyAlignment="1">
      <alignment horizontal="center" vertical="center"/>
    </xf>
    <xf numFmtId="0" fontId="17" fillId="0" borderId="4" xfId="14" applyFont="1" applyBorder="1" applyAlignment="1">
      <alignment horizontal="right" vertical="center"/>
    </xf>
    <xf numFmtId="2" fontId="17" fillId="0" borderId="4" xfId="14" applyNumberFormat="1" applyFont="1" applyBorder="1" applyAlignment="1">
      <alignment horizontal="right" vertical="center"/>
    </xf>
    <xf numFmtId="0" fontId="17" fillId="0" borderId="4" xfId="10" applyFont="1" applyBorder="1" applyAlignment="1">
      <alignment horizontal="right" vertical="center" wrapText="1"/>
    </xf>
    <xf numFmtId="2" fontId="17" fillId="0" borderId="4" xfId="10" applyNumberFormat="1" applyFont="1" applyBorder="1" applyAlignment="1">
      <alignment horizontal="right" vertical="center" wrapText="1"/>
    </xf>
    <xf numFmtId="0" fontId="17" fillId="0" borderId="9" xfId="14" applyFont="1" applyBorder="1" applyAlignment="1">
      <alignment horizontal="right" vertical="center"/>
    </xf>
    <xf numFmtId="2" fontId="22" fillId="6" borderId="9" xfId="14" applyNumberFormat="1" applyFont="1" applyFill="1" applyBorder="1" applyAlignment="1">
      <alignment horizontal="right" vertical="center"/>
    </xf>
    <xf numFmtId="0" fontId="22" fillId="0" borderId="3" xfId="14" applyFont="1" applyBorder="1" applyAlignment="1">
      <alignment horizontal="center" vertical="center" wrapText="1"/>
    </xf>
    <xf numFmtId="0" fontId="22" fillId="0" borderId="9" xfId="0" applyFont="1" applyBorder="1" applyAlignment="1">
      <alignment horizontal="center" vertical="center"/>
    </xf>
    <xf numFmtId="2" fontId="22" fillId="0" borderId="4" xfId="10" applyNumberFormat="1" applyFont="1" applyBorder="1" applyAlignment="1">
      <alignment vertical="top" wrapText="1"/>
    </xf>
    <xf numFmtId="2" fontId="22" fillId="0" borderId="4" xfId="14" applyNumberFormat="1" applyFont="1" applyBorder="1">
      <alignment vertical="center"/>
    </xf>
    <xf numFmtId="169" fontId="17" fillId="0" borderId="4" xfId="0" applyNumberFormat="1" applyFont="1" applyBorder="1" applyAlignment="1">
      <alignment vertical="center"/>
    </xf>
    <xf numFmtId="170" fontId="22" fillId="6" borderId="4" xfId="0" applyNumberFormat="1" applyFont="1" applyFill="1" applyBorder="1" applyAlignment="1">
      <alignment vertical="center"/>
    </xf>
    <xf numFmtId="170" fontId="17" fillId="0" borderId="4" xfId="0" applyNumberFormat="1" applyFont="1" applyBorder="1" applyAlignment="1">
      <alignment vertical="center"/>
    </xf>
    <xf numFmtId="2" fontId="17" fillId="0" borderId="9" xfId="14" applyNumberFormat="1" applyFont="1" applyBorder="1" applyAlignment="1">
      <alignment horizontal="right" vertical="center"/>
    </xf>
    <xf numFmtId="2" fontId="17" fillId="6" borderId="4" xfId="10" applyNumberFormat="1" applyFont="1" applyFill="1" applyBorder="1" applyAlignment="1">
      <alignment horizontal="right" vertical="center"/>
    </xf>
    <xf numFmtId="2" fontId="17" fillId="6" borderId="4" xfId="10" applyNumberFormat="1" applyFont="1" applyFill="1" applyBorder="1" applyAlignment="1">
      <alignment horizontal="right" vertical="center" wrapText="1"/>
    </xf>
    <xf numFmtId="2" fontId="22" fillId="6" borderId="4" xfId="10" applyNumberFormat="1" applyFont="1" applyFill="1" applyBorder="1" applyAlignment="1">
      <alignment horizontal="right" vertical="center"/>
    </xf>
    <xf numFmtId="2" fontId="17" fillId="0" borderId="0" xfId="14" applyNumberFormat="1" applyFont="1">
      <alignment vertical="center"/>
    </xf>
    <xf numFmtId="171" fontId="17" fillId="0" borderId="0" xfId="14" applyNumberFormat="1" applyFont="1">
      <alignment vertical="center"/>
    </xf>
    <xf numFmtId="1" fontId="17" fillId="0" borderId="0" xfId="14" applyNumberFormat="1" applyFont="1">
      <alignment vertical="center"/>
    </xf>
    <xf numFmtId="4" fontId="17" fillId="0" borderId="0" xfId="10" applyNumberFormat="1" applyFont="1" applyAlignment="1">
      <alignment vertical="center"/>
    </xf>
    <xf numFmtId="0" fontId="17" fillId="0" borderId="4" xfId="0" applyFont="1" applyBorder="1"/>
    <xf numFmtId="164" fontId="17" fillId="0" borderId="4" xfId="70" applyFont="1" applyBorder="1"/>
    <xf numFmtId="164" fontId="24" fillId="0" borderId="4" xfId="70" applyFont="1" applyBorder="1"/>
    <xf numFmtId="10" fontId="24" fillId="0" borderId="4" xfId="0" applyNumberFormat="1" applyFont="1" applyBorder="1"/>
    <xf numFmtId="168" fontId="17" fillId="0" borderId="0" xfId="10" applyNumberFormat="1" applyFont="1" applyAlignment="1">
      <alignment vertical="center"/>
    </xf>
    <xf numFmtId="164" fontId="17" fillId="0" borderId="4" xfId="70" applyFont="1" applyBorder="1" applyAlignment="1">
      <alignment horizontal="center" vertical="center"/>
    </xf>
    <xf numFmtId="164" fontId="17" fillId="0" borderId="4" xfId="70" applyFont="1" applyBorder="1" applyAlignment="1">
      <alignment vertical="center"/>
    </xf>
    <xf numFmtId="164" fontId="0" fillId="0" borderId="4" xfId="70" applyFont="1" applyBorder="1"/>
    <xf numFmtId="0" fontId="22" fillId="0" borderId="18" xfId="10" applyFont="1" applyBorder="1" applyAlignment="1">
      <alignment vertical="center" wrapText="1"/>
    </xf>
    <xf numFmtId="2" fontId="17" fillId="0" borderId="0" xfId="10" applyNumberFormat="1" applyFont="1" applyAlignment="1">
      <alignment horizontal="left" vertical="center"/>
    </xf>
    <xf numFmtId="2" fontId="22" fillId="6" borderId="13" xfId="19" applyNumberFormat="1" applyFont="1" applyFill="1" applyBorder="1" applyAlignment="1">
      <alignment horizontal="right" vertical="center"/>
    </xf>
    <xf numFmtId="10" fontId="22" fillId="6" borderId="13" xfId="67" applyNumberFormat="1" applyFont="1" applyFill="1" applyBorder="1" applyAlignment="1">
      <alignment horizontal="right" vertical="center"/>
    </xf>
    <xf numFmtId="164" fontId="17" fillId="0" borderId="0" xfId="10" applyNumberFormat="1" applyFont="1" applyAlignment="1">
      <alignment vertical="center"/>
    </xf>
    <xf numFmtId="0" fontId="17" fillId="4" borderId="12" xfId="67" applyFont="1" applyFill="1" applyBorder="1" applyAlignment="1">
      <alignment horizontal="right" vertical="center"/>
    </xf>
    <xf numFmtId="0" fontId="22" fillId="4" borderId="13" xfId="67" applyFont="1" applyFill="1" applyBorder="1" applyAlignment="1">
      <alignment horizontal="right" vertical="center"/>
    </xf>
    <xf numFmtId="164" fontId="24" fillId="0" borderId="4" xfId="70" applyFont="1" applyBorder="1" applyAlignment="1">
      <alignment horizontal="right"/>
    </xf>
    <xf numFmtId="0" fontId="9" fillId="0" borderId="4" xfId="14" applyFont="1" applyBorder="1" applyAlignment="1">
      <alignment vertical="center" wrapText="1"/>
    </xf>
    <xf numFmtId="0" fontId="22" fillId="0" borderId="0" xfId="14" applyFont="1" applyAlignment="1">
      <alignment horizontal="centerContinuous" vertical="center"/>
    </xf>
    <xf numFmtId="0" fontId="22" fillId="0" borderId="0" xfId="14" quotePrefix="1" applyFont="1" applyAlignment="1">
      <alignment horizontal="center" vertical="center" wrapText="1"/>
    </xf>
    <xf numFmtId="0" fontId="30" fillId="0" borderId="0" xfId="10" applyFont="1" applyAlignment="1">
      <alignment horizontal="left" vertical="center"/>
    </xf>
    <xf numFmtId="0" fontId="22" fillId="0" borderId="0" xfId="10" applyFont="1" applyAlignment="1">
      <alignment horizontal="justify" vertical="center" wrapText="1"/>
    </xf>
    <xf numFmtId="0" fontId="9" fillId="0" borderId="0" xfId="0" applyFont="1" applyAlignment="1">
      <alignment vertical="center"/>
    </xf>
    <xf numFmtId="0" fontId="14" fillId="0" borderId="4" xfId="0" applyFont="1" applyBorder="1" applyAlignment="1">
      <alignment horizontal="center" vertical="center"/>
    </xf>
    <xf numFmtId="0" fontId="9" fillId="0" borderId="0" xfId="0" applyFont="1" applyAlignment="1">
      <alignment horizontal="center" vertical="center"/>
    </xf>
    <xf numFmtId="0" fontId="9" fillId="0" borderId="4" xfId="0" applyFont="1" applyBorder="1" applyAlignment="1">
      <alignment vertical="center"/>
    </xf>
    <xf numFmtId="0" fontId="9" fillId="0" borderId="4" xfId="0" applyFont="1" applyBorder="1" applyAlignment="1">
      <alignment horizontal="center" vertical="center"/>
    </xf>
    <xf numFmtId="2" fontId="9" fillId="0" borderId="4" xfId="0" applyNumberFormat="1" applyFont="1" applyBorder="1" applyAlignment="1">
      <alignment vertical="center"/>
    </xf>
    <xf numFmtId="0" fontId="14" fillId="6" borderId="4" xfId="0" applyFont="1" applyFill="1" applyBorder="1" applyAlignment="1">
      <alignment vertical="center"/>
    </xf>
    <xf numFmtId="2" fontId="14" fillId="6" borderId="4" xfId="0" applyNumberFormat="1" applyFont="1" applyFill="1" applyBorder="1" applyAlignment="1">
      <alignment vertical="center"/>
    </xf>
    <xf numFmtId="0" fontId="9" fillId="0" borderId="4" xfId="0" applyFont="1" applyBorder="1" applyAlignment="1">
      <alignment vertical="center" wrapText="1"/>
    </xf>
    <xf numFmtId="0" fontId="9" fillId="0" borderId="18" xfId="0" applyFont="1" applyBorder="1" applyAlignment="1">
      <alignment horizontal="center"/>
    </xf>
    <xf numFmtId="0" fontId="14" fillId="0" borderId="0" xfId="0" applyFont="1" applyAlignment="1">
      <alignment vertical="center"/>
    </xf>
    <xf numFmtId="0" fontId="9" fillId="0" borderId="0" xfId="0" applyFont="1"/>
    <xf numFmtId="0" fontId="0" fillId="0" borderId="18" xfId="0" applyBorder="1"/>
    <xf numFmtId="0" fontId="17" fillId="0" borderId="18" xfId="10" applyFont="1" applyBorder="1" applyAlignment="1">
      <alignment horizontal="center" vertical="center"/>
    </xf>
    <xf numFmtId="0" fontId="22" fillId="0" borderId="18" xfId="10" applyFont="1" applyBorder="1" applyAlignment="1">
      <alignment horizontal="center" vertical="center" wrapText="1"/>
    </xf>
    <xf numFmtId="2" fontId="22" fillId="0" borderId="4" xfId="14" applyNumberFormat="1" applyFont="1" applyBorder="1" applyAlignment="1">
      <alignment horizontal="right" vertical="center" wrapText="1"/>
    </xf>
    <xf numFmtId="2" fontId="22" fillId="0" borderId="4" xfId="14" applyNumberFormat="1" applyFont="1" applyBorder="1" applyAlignment="1">
      <alignment vertical="center" wrapText="1"/>
    </xf>
    <xf numFmtId="2" fontId="17" fillId="0" borderId="4" xfId="10" applyNumberFormat="1" applyFont="1" applyBorder="1" applyAlignment="1">
      <alignment vertical="center" wrapText="1"/>
    </xf>
    <xf numFmtId="0" fontId="31" fillId="0" borderId="18" xfId="0" applyFont="1" applyBorder="1" applyAlignment="1">
      <alignment horizontal="center" vertical="center"/>
    </xf>
    <xf numFmtId="0" fontId="0" fillId="0" borderId="18" xfId="0" applyBorder="1" applyAlignment="1">
      <alignment horizontal="center"/>
    </xf>
    <xf numFmtId="0" fontId="31" fillId="0" borderId="18" xfId="0" applyFont="1" applyBorder="1" applyAlignment="1">
      <alignment horizontal="center"/>
    </xf>
    <xf numFmtId="10" fontId="0" fillId="0" borderId="18" xfId="0" applyNumberFormat="1" applyBorder="1" applyAlignment="1">
      <alignment horizontal="center"/>
    </xf>
    <xf numFmtId="10" fontId="31" fillId="0" borderId="18" xfId="0" applyNumberFormat="1" applyFont="1" applyBorder="1" applyAlignment="1">
      <alignment horizontal="center"/>
    </xf>
    <xf numFmtId="9" fontId="0" fillId="0" borderId="18" xfId="0" applyNumberFormat="1" applyBorder="1" applyAlignment="1">
      <alignment horizontal="center"/>
    </xf>
    <xf numFmtId="179" fontId="17" fillId="0" borderId="0" xfId="10" applyNumberFormat="1" applyFont="1" applyAlignment="1">
      <alignment vertical="center"/>
    </xf>
    <xf numFmtId="180" fontId="17" fillId="0" borderId="0" xfId="10" applyNumberFormat="1" applyFont="1" applyAlignment="1">
      <alignment vertical="center"/>
    </xf>
    <xf numFmtId="2" fontId="9" fillId="0" borderId="18" xfId="0" applyNumberFormat="1" applyFont="1" applyBorder="1" applyAlignment="1">
      <alignment vertical="center"/>
    </xf>
    <xf numFmtId="1" fontId="9" fillId="0" borderId="18" xfId="0" applyNumberFormat="1" applyFont="1" applyBorder="1" applyAlignment="1">
      <alignment vertical="center"/>
    </xf>
    <xf numFmtId="2" fontId="10" fillId="0" borderId="18" xfId="0" applyNumberFormat="1" applyFont="1" applyBorder="1" applyAlignment="1">
      <alignment vertical="center"/>
    </xf>
    <xf numFmtId="0" fontId="9" fillId="0" borderId="18" xfId="0" applyFont="1" applyBorder="1" applyAlignment="1">
      <alignment vertical="center"/>
    </xf>
    <xf numFmtId="0" fontId="14" fillId="0" borderId="4" xfId="0" applyFont="1" applyBorder="1" applyAlignment="1">
      <alignment vertical="center" wrapText="1"/>
    </xf>
    <xf numFmtId="0" fontId="14" fillId="0" borderId="18" xfId="0" applyFont="1" applyBorder="1" applyAlignment="1">
      <alignment horizontal="center" vertical="center"/>
    </xf>
    <xf numFmtId="0" fontId="22" fillId="0" borderId="18" xfId="0" applyFont="1" applyBorder="1" applyAlignment="1">
      <alignment horizontal="center" vertical="center"/>
    </xf>
    <xf numFmtId="0" fontId="14" fillId="0" borderId="18" xfId="0" applyFont="1" applyBorder="1" applyAlignment="1">
      <alignment vertical="center"/>
    </xf>
    <xf numFmtId="0" fontId="9" fillId="0" borderId="18" xfId="0" applyFont="1" applyBorder="1" applyAlignment="1">
      <alignment horizontal="center" vertical="center"/>
    </xf>
    <xf numFmtId="0" fontId="10" fillId="0" borderId="18" xfId="0" applyFont="1" applyBorder="1" applyAlignment="1">
      <alignment vertical="center"/>
    </xf>
    <xf numFmtId="0" fontId="9" fillId="0" borderId="18" xfId="0" applyFont="1" applyBorder="1"/>
    <xf numFmtId="168" fontId="17" fillId="0" borderId="0" xfId="0" applyNumberFormat="1" applyFont="1" applyAlignment="1">
      <alignment vertical="center"/>
    </xf>
    <xf numFmtId="181" fontId="17" fillId="0" borderId="0" xfId="0" applyNumberFormat="1" applyFont="1" applyAlignment="1">
      <alignment vertical="center"/>
    </xf>
    <xf numFmtId="16" fontId="22" fillId="0" borderId="18" xfId="10" applyNumberFormat="1" applyFont="1" applyBorder="1" applyAlignment="1">
      <alignment horizontal="center" vertical="center" wrapText="1"/>
    </xf>
    <xf numFmtId="0" fontId="17" fillId="0" borderId="18" xfId="10" applyFont="1" applyBorder="1" applyAlignment="1">
      <alignment horizontal="center" vertical="center" wrapText="1"/>
    </xf>
    <xf numFmtId="2" fontId="25" fillId="0" borderId="18" xfId="10" applyNumberFormat="1" applyFont="1" applyBorder="1" applyAlignment="1">
      <alignment vertical="center"/>
    </xf>
    <xf numFmtId="0" fontId="17" fillId="0" borderId="18" xfId="10" applyFont="1" applyBorder="1" applyAlignment="1">
      <alignment horizontal="left" vertical="center" wrapText="1"/>
    </xf>
    <xf numFmtId="0" fontId="25" fillId="0" borderId="18" xfId="10" applyFont="1" applyBorder="1" applyAlignment="1">
      <alignment vertical="center"/>
    </xf>
    <xf numFmtId="0" fontId="22" fillId="0" borderId="18" xfId="10" applyFont="1" applyBorder="1" applyAlignment="1">
      <alignment vertical="center"/>
    </xf>
    <xf numFmtId="2" fontId="22" fillId="6" borderId="18" xfId="10" applyNumberFormat="1" applyFont="1" applyFill="1" applyBorder="1" applyAlignment="1">
      <alignment vertical="center"/>
    </xf>
    <xf numFmtId="0" fontId="22" fillId="0" borderId="18" xfId="10" applyFont="1" applyBorder="1" applyAlignment="1">
      <alignment horizontal="left" vertical="center"/>
    </xf>
    <xf numFmtId="0" fontId="17" fillId="0" borderId="18" xfId="10" applyFont="1" applyBorder="1" applyAlignment="1">
      <alignment vertical="center"/>
    </xf>
    <xf numFmtId="0" fontId="24" fillId="0" borderId="18" xfId="10" applyFont="1" applyBorder="1" applyAlignment="1">
      <alignment vertical="center"/>
    </xf>
    <xf numFmtId="0" fontId="22" fillId="0" borderId="18" xfId="14" applyFont="1" applyBorder="1" applyAlignment="1">
      <alignment horizontal="center" vertical="center" wrapText="1"/>
    </xf>
    <xf numFmtId="0" fontId="22" fillId="0" borderId="18" xfId="14" applyFont="1" applyBorder="1" applyAlignment="1">
      <alignment horizontal="left" vertical="center" wrapText="1"/>
    </xf>
    <xf numFmtId="0" fontId="22" fillId="0" borderId="18" xfId="14" quotePrefix="1" applyFont="1" applyBorder="1" applyAlignment="1">
      <alignment horizontal="center" vertical="center" wrapText="1"/>
    </xf>
    <xf numFmtId="0" fontId="22" fillId="0" borderId="18" xfId="14" applyFont="1" applyBorder="1" applyAlignment="1">
      <alignment vertical="center" wrapText="1"/>
    </xf>
    <xf numFmtId="1" fontId="32" fillId="0" borderId="18" xfId="0" applyNumberFormat="1" applyFont="1" applyBorder="1" applyAlignment="1">
      <alignment horizontal="right" vertical="center"/>
    </xf>
    <xf numFmtId="170" fontId="17" fillId="0" borderId="0" xfId="14" applyNumberFormat="1" applyFont="1">
      <alignment vertical="center"/>
    </xf>
    <xf numFmtId="183" fontId="17" fillId="0" borderId="0" xfId="14" applyNumberFormat="1" applyFont="1">
      <alignment vertical="center"/>
    </xf>
    <xf numFmtId="0" fontId="22" fillId="4" borderId="8" xfId="67" applyFont="1" applyFill="1" applyBorder="1" applyAlignment="1">
      <alignment horizontal="center" vertical="center" wrapText="1"/>
    </xf>
    <xf numFmtId="0" fontId="22" fillId="4" borderId="22" xfId="67" applyFont="1" applyFill="1" applyBorder="1" applyAlignment="1">
      <alignment horizontal="center" vertical="center" wrapText="1"/>
    </xf>
    <xf numFmtId="0" fontId="17" fillId="4" borderId="18" xfId="67" applyFont="1" applyFill="1" applyBorder="1" applyAlignment="1">
      <alignment horizontal="center" vertical="center"/>
    </xf>
    <xf numFmtId="177" fontId="17" fillId="4" borderId="18" xfId="70" applyNumberFormat="1" applyFont="1" applyFill="1" applyBorder="1" applyAlignment="1">
      <alignment horizontal="left" vertical="center"/>
    </xf>
    <xf numFmtId="1" fontId="17" fillId="4" borderId="18" xfId="70" applyNumberFormat="1" applyFont="1" applyFill="1" applyBorder="1" applyAlignment="1">
      <alignment horizontal="right" vertical="center"/>
    </xf>
    <xf numFmtId="0" fontId="17" fillId="0" borderId="18" xfId="0" applyFont="1" applyBorder="1"/>
    <xf numFmtId="10" fontId="24" fillId="0" borderId="18" xfId="0" applyNumberFormat="1" applyFont="1" applyBorder="1"/>
    <xf numFmtId="0" fontId="17" fillId="4" borderId="18" xfId="67" applyFont="1" applyFill="1" applyBorder="1" applyAlignment="1">
      <alignment horizontal="right" vertical="center"/>
    </xf>
    <xf numFmtId="0" fontId="22" fillId="4" borderId="18" xfId="67" applyFont="1" applyFill="1" applyBorder="1" applyAlignment="1">
      <alignment horizontal="right" vertical="center"/>
    </xf>
    <xf numFmtId="10" fontId="22" fillId="6" borderId="18" xfId="67" applyNumberFormat="1" applyFont="1" applyFill="1" applyBorder="1" applyAlignment="1">
      <alignment horizontal="right" vertical="center"/>
    </xf>
    <xf numFmtId="164" fontId="17" fillId="0" borderId="18" xfId="14" applyNumberFormat="1" applyFont="1" applyBorder="1">
      <alignment vertical="center"/>
    </xf>
    <xf numFmtId="164" fontId="17" fillId="4" borderId="18" xfId="70" applyFont="1" applyFill="1" applyBorder="1" applyAlignment="1">
      <alignment horizontal="left" vertical="center"/>
    </xf>
    <xf numFmtId="164" fontId="24" fillId="0" borderId="18" xfId="70" applyFont="1" applyBorder="1"/>
    <xf numFmtId="164" fontId="17" fillId="0" borderId="18" xfId="70" applyFont="1" applyBorder="1"/>
    <xf numFmtId="164" fontId="17" fillId="0" borderId="18" xfId="10" applyNumberFormat="1" applyFont="1" applyBorder="1" applyAlignment="1">
      <alignment vertical="center"/>
    </xf>
    <xf numFmtId="164" fontId="22" fillId="6" borderId="18" xfId="19" applyNumberFormat="1" applyFont="1" applyFill="1" applyBorder="1" applyAlignment="1">
      <alignment horizontal="right" vertical="center"/>
    </xf>
    <xf numFmtId="164" fontId="1" fillId="0" borderId="18" xfId="460" applyFont="1" applyFill="1" applyBorder="1"/>
    <xf numFmtId="164" fontId="1" fillId="0" borderId="18" xfId="474" applyNumberFormat="1" applyBorder="1"/>
    <xf numFmtId="164" fontId="1" fillId="0" borderId="18" xfId="70" applyFont="1" applyFill="1" applyBorder="1"/>
    <xf numFmtId="164" fontId="1" fillId="0" borderId="18" xfId="481" applyNumberFormat="1" applyBorder="1"/>
    <xf numFmtId="164" fontId="1" fillId="0" borderId="18" xfId="482" applyNumberFormat="1" applyBorder="1"/>
    <xf numFmtId="164" fontId="17" fillId="0" borderId="4" xfId="14" applyNumberFormat="1" applyFont="1" applyBorder="1">
      <alignment vertical="center"/>
    </xf>
    <xf numFmtId="164" fontId="1" fillId="0" borderId="18" xfId="484" applyFont="1" applyFill="1" applyBorder="1"/>
    <xf numFmtId="164" fontId="1" fillId="0" borderId="18" xfId="485" applyNumberFormat="1" applyBorder="1"/>
    <xf numFmtId="164" fontId="31" fillId="0" borderId="18" xfId="488" applyNumberFormat="1" applyFont="1" applyBorder="1"/>
    <xf numFmtId="10" fontId="17" fillId="0" borderId="0" xfId="10" applyNumberFormat="1" applyFont="1" applyAlignment="1">
      <alignment vertical="center"/>
    </xf>
    <xf numFmtId="184" fontId="17" fillId="0" borderId="0" xfId="10" applyNumberFormat="1" applyFont="1" applyAlignment="1">
      <alignment vertical="center"/>
    </xf>
    <xf numFmtId="0" fontId="31" fillId="0" borderId="0" xfId="0" applyFont="1" applyAlignment="1">
      <alignment horizontal="center" vertical="center"/>
    </xf>
    <xf numFmtId="0" fontId="0" fillId="0" borderId="0" xfId="0" applyAlignment="1">
      <alignment horizontal="center"/>
    </xf>
    <xf numFmtId="0" fontId="31" fillId="0" borderId="0" xfId="0" applyFont="1" applyAlignment="1">
      <alignment horizontal="center"/>
    </xf>
    <xf numFmtId="2" fontId="31" fillId="0" borderId="0" xfId="0" applyNumberFormat="1" applyFont="1" applyAlignment="1">
      <alignment horizontal="center"/>
    </xf>
    <xf numFmtId="0" fontId="34" fillId="0" borderId="0" xfId="10" applyFont="1" applyAlignment="1">
      <alignment vertical="center"/>
    </xf>
    <xf numFmtId="0" fontId="35" fillId="0" borderId="0" xfId="14" applyFont="1" applyAlignment="1">
      <alignment horizontal="center" vertical="center"/>
    </xf>
    <xf numFmtId="0" fontId="35" fillId="0" borderId="0" xfId="10" applyFont="1" applyAlignment="1">
      <alignment horizontal="left" vertical="center"/>
    </xf>
    <xf numFmtId="0" fontId="34" fillId="0" borderId="0" xfId="14" applyFont="1">
      <alignment vertical="center"/>
    </xf>
    <xf numFmtId="0" fontId="35" fillId="0" borderId="0" xfId="10" applyFont="1" applyAlignment="1">
      <alignment horizontal="center" vertical="center"/>
    </xf>
    <xf numFmtId="0" fontId="35" fillId="0" borderId="0" xfId="14" applyFont="1">
      <alignment vertical="center"/>
    </xf>
    <xf numFmtId="0" fontId="35" fillId="0" borderId="8" xfId="10" applyFont="1" applyBorder="1" applyAlignment="1">
      <alignment horizontal="center" vertical="center" wrapText="1"/>
    </xf>
    <xf numFmtId="0" fontId="35" fillId="0" borderId="18" xfId="10" applyFont="1" applyBorder="1" applyAlignment="1">
      <alignment horizontal="center" vertical="center" wrapText="1"/>
    </xf>
    <xf numFmtId="16" fontId="35" fillId="0" borderId="18" xfId="10" applyNumberFormat="1" applyFont="1" applyBorder="1" applyAlignment="1">
      <alignment horizontal="center" vertical="center" wrapText="1"/>
    </xf>
    <xf numFmtId="0" fontId="35" fillId="0" borderId="8" xfId="10" applyFont="1" applyBorder="1" applyAlignment="1">
      <alignment horizontal="center" vertical="center"/>
    </xf>
    <xf numFmtId="0" fontId="34" fillId="0" borderId="8" xfId="10" applyFont="1" applyBorder="1" applyAlignment="1">
      <alignment horizontal="center" vertical="center" wrapText="1"/>
    </xf>
    <xf numFmtId="0" fontId="34" fillId="0" borderId="8" xfId="10" applyFont="1" applyBorder="1" applyAlignment="1">
      <alignment vertical="center" wrapText="1"/>
    </xf>
    <xf numFmtId="0" fontId="34" fillId="0" borderId="18" xfId="10" applyFont="1" applyBorder="1" applyAlignment="1">
      <alignment vertical="center" wrapText="1"/>
    </xf>
    <xf numFmtId="0" fontId="34" fillId="0" borderId="18" xfId="10" applyFont="1" applyBorder="1" applyAlignment="1">
      <alignment horizontal="center" vertical="center" wrapText="1"/>
    </xf>
    <xf numFmtId="170" fontId="34" fillId="0" borderId="18" xfId="10" applyNumberFormat="1" applyFont="1" applyBorder="1" applyAlignment="1">
      <alignment horizontal="right" vertical="center"/>
    </xf>
    <xf numFmtId="2" fontId="34" fillId="0" borderId="18" xfId="10" applyNumberFormat="1" applyFont="1" applyBorder="1" applyAlignment="1">
      <alignment horizontal="right" vertical="center"/>
    </xf>
    <xf numFmtId="2" fontId="0" fillId="0" borderId="0" xfId="0" applyNumberFormat="1"/>
    <xf numFmtId="0" fontId="35" fillId="0" borderId="9" xfId="10" applyFont="1" applyBorder="1" applyAlignment="1">
      <alignment vertical="center" wrapText="1"/>
    </xf>
    <xf numFmtId="2" fontId="35" fillId="0" borderId="18" xfId="10" applyNumberFormat="1" applyFont="1" applyBorder="1" applyAlignment="1">
      <alignment horizontal="right" vertical="center"/>
    </xf>
    <xf numFmtId="0" fontId="35" fillId="0" borderId="18" xfId="10" applyFont="1" applyBorder="1" applyAlignment="1">
      <alignment vertical="center" wrapText="1"/>
    </xf>
    <xf numFmtId="0" fontId="35" fillId="0" borderId="18" xfId="10" applyFont="1" applyBorder="1" applyAlignment="1">
      <alignment vertical="center"/>
    </xf>
    <xf numFmtId="2" fontId="17" fillId="6" borderId="9" xfId="14" applyNumberFormat="1" applyFont="1" applyFill="1" applyBorder="1" applyAlignment="1">
      <alignment horizontal="right" vertical="center"/>
    </xf>
    <xf numFmtId="10" fontId="17" fillId="0" borderId="9" xfId="14" applyNumberFormat="1" applyFont="1" applyBorder="1" applyAlignment="1">
      <alignment horizontal="right" vertical="center"/>
    </xf>
    <xf numFmtId="176" fontId="17" fillId="0" borderId="9" xfId="38" applyNumberFormat="1" applyFont="1" applyBorder="1" applyAlignment="1">
      <alignment horizontal="right" vertical="center"/>
    </xf>
    <xf numFmtId="176" fontId="17" fillId="0" borderId="9" xfId="14" applyNumberFormat="1" applyFont="1" applyBorder="1" applyAlignment="1">
      <alignment horizontal="right" vertical="center"/>
    </xf>
    <xf numFmtId="176" fontId="22" fillId="6" borderId="9" xfId="14" applyNumberFormat="1" applyFont="1" applyFill="1" applyBorder="1" applyAlignment="1">
      <alignment horizontal="right" vertical="center"/>
    </xf>
    <xf numFmtId="0" fontId="22" fillId="0" borderId="9" xfId="14" applyFont="1" applyBorder="1" applyAlignment="1">
      <alignment horizontal="right" vertical="center"/>
    </xf>
    <xf numFmtId="2" fontId="22" fillId="6" borderId="4" xfId="14" applyNumberFormat="1" applyFont="1" applyFill="1" applyBorder="1" applyAlignment="1">
      <alignment horizontal="right" vertical="center"/>
    </xf>
    <xf numFmtId="2" fontId="22" fillId="5" borderId="4" xfId="14" applyNumberFormat="1" applyFont="1" applyFill="1" applyBorder="1" applyAlignment="1">
      <alignment horizontal="right" vertical="center"/>
    </xf>
    <xf numFmtId="2" fontId="22" fillId="0" borderId="4" xfId="14" applyNumberFormat="1" applyFont="1" applyBorder="1" applyAlignment="1">
      <alignment horizontal="right" vertical="center"/>
    </xf>
    <xf numFmtId="170" fontId="22" fillId="6" borderId="4" xfId="14" applyNumberFormat="1" applyFont="1" applyFill="1" applyBorder="1" applyAlignment="1">
      <alignment horizontal="right" vertical="center"/>
    </xf>
    <xf numFmtId="2" fontId="22" fillId="6" borderId="18" xfId="14" applyNumberFormat="1" applyFont="1" applyFill="1" applyBorder="1" applyAlignment="1">
      <alignment horizontal="right" vertical="center"/>
    </xf>
    <xf numFmtId="170" fontId="35" fillId="0" borderId="18" xfId="10" applyNumberFormat="1" applyFont="1" applyBorder="1" applyAlignment="1">
      <alignment horizontal="right" vertical="center"/>
    </xf>
    <xf numFmtId="178" fontId="35" fillId="0" borderId="18" xfId="10" applyNumberFormat="1" applyFont="1" applyBorder="1" applyAlignment="1">
      <alignment horizontal="right" vertical="center"/>
    </xf>
    <xf numFmtId="2" fontId="22" fillId="0" borderId="0" xfId="10" applyNumberFormat="1" applyFont="1" applyAlignment="1">
      <alignment vertical="center"/>
    </xf>
    <xf numFmtId="0" fontId="9" fillId="0" borderId="0" xfId="0" applyFont="1" applyAlignment="1">
      <alignment wrapText="1"/>
    </xf>
    <xf numFmtId="0" fontId="14" fillId="0" borderId="18" xfId="0" applyFont="1" applyBorder="1" applyAlignment="1">
      <alignment vertical="center" wrapText="1"/>
    </xf>
    <xf numFmtId="0" fontId="9" fillId="0" borderId="18" xfId="0" applyFont="1" applyBorder="1" applyAlignment="1">
      <alignment vertical="center" wrapText="1"/>
    </xf>
    <xf numFmtId="0" fontId="9" fillId="0" borderId="0" xfId="0" applyFont="1" applyAlignment="1">
      <alignment vertical="center" wrapText="1"/>
    </xf>
    <xf numFmtId="0" fontId="9" fillId="7" borderId="18" xfId="0" applyFont="1" applyFill="1" applyBorder="1" applyAlignment="1">
      <alignment horizontal="center" vertical="center"/>
    </xf>
    <xf numFmtId="0" fontId="9" fillId="7" borderId="18" xfId="0" applyFont="1" applyFill="1" applyBorder="1" applyAlignment="1">
      <alignment vertical="center" wrapText="1"/>
    </xf>
    <xf numFmtId="0" fontId="9" fillId="7" borderId="0" xfId="0" applyFont="1" applyFill="1"/>
    <xf numFmtId="2" fontId="9" fillId="0" borderId="18" xfId="0" applyNumberFormat="1" applyFont="1" applyBorder="1" applyAlignment="1">
      <alignment horizontal="right" vertical="center"/>
    </xf>
    <xf numFmtId="2" fontId="9" fillId="0" borderId="18" xfId="0" applyNumberFormat="1" applyFont="1" applyBorder="1" applyAlignment="1">
      <alignment horizontal="right"/>
    </xf>
    <xf numFmtId="2" fontId="9" fillId="7" borderId="18" xfId="0" applyNumberFormat="1" applyFont="1" applyFill="1" applyBorder="1" applyAlignment="1">
      <alignment horizontal="right" vertical="center"/>
    </xf>
    <xf numFmtId="2" fontId="9" fillId="7" borderId="18" xfId="0" applyNumberFormat="1" applyFont="1" applyFill="1" applyBorder="1" applyAlignment="1">
      <alignment horizontal="right"/>
    </xf>
    <xf numFmtId="2" fontId="9" fillId="0" borderId="0" xfId="0" applyNumberFormat="1" applyFont="1" applyAlignment="1">
      <alignment horizontal="right" vertical="center"/>
    </xf>
    <xf numFmtId="2" fontId="9" fillId="0" borderId="0" xfId="0" applyNumberFormat="1" applyFont="1" applyAlignment="1">
      <alignment horizontal="right"/>
    </xf>
    <xf numFmtId="2" fontId="14" fillId="0" borderId="18" xfId="0" applyNumberFormat="1" applyFont="1" applyBorder="1" applyAlignment="1">
      <alignment horizontal="right" vertical="center"/>
    </xf>
    <xf numFmtId="0" fontId="14" fillId="0" borderId="0" xfId="0" applyFont="1"/>
    <xf numFmtId="0" fontId="14" fillId="0" borderId="18" xfId="0" applyFont="1" applyBorder="1"/>
    <xf numFmtId="1" fontId="9" fillId="0" borderId="18" xfId="0" applyNumberFormat="1" applyFont="1" applyBorder="1" applyAlignment="1">
      <alignment horizontal="right"/>
    </xf>
    <xf numFmtId="0" fontId="9" fillId="0" borderId="18" xfId="0" applyFont="1" applyBorder="1" applyAlignment="1">
      <alignment horizontal="right" vertical="center"/>
    </xf>
    <xf numFmtId="2" fontId="14" fillId="0" borderId="18" xfId="0" applyNumberFormat="1" applyFont="1" applyBorder="1" applyAlignment="1">
      <alignment horizontal="right"/>
    </xf>
    <xf numFmtId="2" fontId="14" fillId="7" borderId="18" xfId="0" applyNumberFormat="1" applyFont="1" applyFill="1" applyBorder="1" applyAlignment="1">
      <alignment horizontal="right"/>
    </xf>
    <xf numFmtId="0" fontId="22" fillId="0" borderId="0" xfId="10" applyFont="1" applyAlignment="1">
      <alignment horizontal="center" vertical="center"/>
    </xf>
    <xf numFmtId="0" fontId="22" fillId="0" borderId="0" xfId="10" applyFont="1" applyAlignment="1">
      <alignment horizontal="left" vertical="center"/>
    </xf>
    <xf numFmtId="0" fontId="22" fillId="0" borderId="18" xfId="14" applyFont="1" applyBorder="1" applyAlignment="1">
      <alignment horizontal="center" vertical="center" wrapText="1"/>
    </xf>
    <xf numFmtId="0" fontId="22" fillId="0" borderId="18" xfId="10" applyFont="1" applyBorder="1" applyAlignment="1">
      <alignment horizontal="center" vertical="center" wrapText="1"/>
    </xf>
    <xf numFmtId="0" fontId="17" fillId="0" borderId="18" xfId="14" applyFont="1" applyBorder="1" applyAlignment="1">
      <alignment horizontal="center" vertical="center" wrapText="1"/>
    </xf>
    <xf numFmtId="0" fontId="36" fillId="0" borderId="18" xfId="14" applyFont="1" applyBorder="1" applyAlignment="1">
      <alignment horizontal="center" vertical="center" wrapText="1"/>
    </xf>
    <xf numFmtId="0" fontId="24" fillId="0" borderId="18" xfId="14" applyFont="1" applyBorder="1" applyAlignment="1">
      <alignment horizontal="center" vertical="center" wrapText="1"/>
    </xf>
    <xf numFmtId="0" fontId="24" fillId="0" borderId="18" xfId="14" applyFont="1" applyBorder="1" applyAlignment="1">
      <alignment horizontal="right" vertical="center" wrapText="1"/>
    </xf>
    <xf numFmtId="0" fontId="24" fillId="0" borderId="18" xfId="10" applyFont="1" applyBorder="1" applyAlignment="1">
      <alignment horizontal="right" vertical="center"/>
    </xf>
    <xf numFmtId="0" fontId="17" fillId="0" borderId="18" xfId="10" applyFont="1" applyBorder="1" applyAlignment="1">
      <alignment horizontal="right" vertical="center"/>
    </xf>
    <xf numFmtId="0" fontId="24" fillId="0" borderId="0" xfId="10" applyFont="1" applyAlignment="1">
      <alignment horizontal="right" vertical="center"/>
    </xf>
    <xf numFmtId="2" fontId="24" fillId="0" borderId="18" xfId="14" applyNumberFormat="1" applyFont="1" applyBorder="1" applyAlignment="1">
      <alignment horizontal="right" vertical="center" wrapText="1"/>
    </xf>
    <xf numFmtId="182" fontId="24" fillId="0" borderId="18" xfId="14" applyNumberFormat="1" applyFont="1" applyBorder="1" applyAlignment="1">
      <alignment horizontal="right" vertical="center" wrapText="1"/>
    </xf>
    <xf numFmtId="168" fontId="24" fillId="0" borderId="18" xfId="14" applyNumberFormat="1" applyFont="1" applyBorder="1" applyAlignment="1">
      <alignment horizontal="right" vertical="center" wrapText="1"/>
    </xf>
    <xf numFmtId="0" fontId="17" fillId="0" borderId="18" xfId="14" quotePrefix="1" applyFont="1" applyBorder="1" applyAlignment="1">
      <alignment horizontal="right" vertical="center" wrapText="1"/>
    </xf>
    <xf numFmtId="0" fontId="17" fillId="0" borderId="18" xfId="14" applyFont="1" applyBorder="1" applyAlignment="1">
      <alignment horizontal="right" vertical="center" wrapText="1"/>
    </xf>
    <xf numFmtId="0" fontId="14" fillId="0" borderId="0" xfId="14" applyFont="1" applyAlignment="1">
      <alignment horizontal="center" vertical="center"/>
    </xf>
    <xf numFmtId="0" fontId="9" fillId="0" borderId="0" xfId="10" applyFont="1" applyAlignment="1">
      <alignment horizontal="center" vertical="center"/>
    </xf>
    <xf numFmtId="0" fontId="14" fillId="0" borderId="0" xfId="10" applyFont="1" applyAlignment="1">
      <alignment horizontal="center" vertical="center" wrapText="1"/>
    </xf>
    <xf numFmtId="0" fontId="9" fillId="0" borderId="0" xfId="10" applyFont="1" applyAlignment="1">
      <alignment horizontal="center" vertical="center" wrapText="1"/>
    </xf>
    <xf numFmtId="0" fontId="22" fillId="0" borderId="8" xfId="14" applyFont="1" applyBorder="1" applyAlignment="1">
      <alignment horizontal="center" vertical="center"/>
    </xf>
    <xf numFmtId="0" fontId="22" fillId="0" borderId="10" xfId="14" applyFont="1" applyBorder="1" applyAlignment="1">
      <alignment horizontal="center" vertical="center"/>
    </xf>
    <xf numFmtId="0" fontId="22" fillId="0" borderId="7" xfId="14" applyFont="1" applyBorder="1" applyAlignment="1">
      <alignment horizontal="center" vertical="center"/>
    </xf>
    <xf numFmtId="0" fontId="22" fillId="0" borderId="8" xfId="14" applyFont="1" applyBorder="1" applyAlignment="1">
      <alignment horizontal="center" vertical="center" wrapText="1"/>
    </xf>
    <xf numFmtId="0" fontId="22" fillId="0" borderId="10" xfId="14" applyFont="1" applyBorder="1" applyAlignment="1">
      <alignment horizontal="center" vertical="center" wrapText="1"/>
    </xf>
    <xf numFmtId="0" fontId="17" fillId="0" borderId="7" xfId="10" applyFont="1" applyBorder="1" applyAlignment="1">
      <alignment horizontal="center" vertical="center" wrapText="1"/>
    </xf>
    <xf numFmtId="0" fontId="22" fillId="0" borderId="4" xfId="14" applyFont="1" applyBorder="1" applyAlignment="1">
      <alignment horizontal="center" vertical="center"/>
    </xf>
    <xf numFmtId="0" fontId="17" fillId="0" borderId="4" xfId="10" applyFont="1" applyBorder="1" applyAlignment="1">
      <alignment horizontal="center" vertical="center"/>
    </xf>
    <xf numFmtId="0" fontId="22" fillId="0" borderId="4" xfId="14" applyFont="1" applyBorder="1" applyAlignment="1">
      <alignment horizontal="center" vertical="center" wrapText="1"/>
    </xf>
    <xf numFmtId="0" fontId="17" fillId="0" borderId="4" xfId="10" applyFont="1" applyBorder="1" applyAlignment="1">
      <alignment horizontal="center" vertical="center" wrapText="1"/>
    </xf>
    <xf numFmtId="0" fontId="22" fillId="0" borderId="6" xfId="14" applyFont="1" applyBorder="1" applyAlignment="1">
      <alignment horizontal="center" vertical="center" wrapText="1"/>
    </xf>
    <xf numFmtId="0" fontId="22" fillId="0" borderId="3" xfId="14" applyFont="1" applyBorder="1" applyAlignment="1">
      <alignment horizontal="center" vertical="center" wrapText="1"/>
    </xf>
    <xf numFmtId="0" fontId="22" fillId="0" borderId="9" xfId="14" applyFont="1" applyBorder="1" applyAlignment="1">
      <alignment horizontal="center" vertical="center" wrapText="1"/>
    </xf>
    <xf numFmtId="0" fontId="22" fillId="0" borderId="0" xfId="10" applyFont="1" applyAlignment="1">
      <alignment horizontal="center" vertical="center"/>
    </xf>
    <xf numFmtId="0" fontId="22" fillId="0" borderId="0" xfId="10" applyFont="1" applyAlignment="1">
      <alignment horizontal="left" vertical="center"/>
    </xf>
    <xf numFmtId="0" fontId="22" fillId="0" borderId="4" xfId="10" applyFont="1" applyBorder="1" applyAlignment="1">
      <alignment horizontal="center" vertical="center" wrapText="1"/>
    </xf>
    <xf numFmtId="0" fontId="22" fillId="0" borderId="8" xfId="10" applyFont="1" applyBorder="1" applyAlignment="1">
      <alignment horizontal="center" vertical="center" wrapText="1"/>
    </xf>
    <xf numFmtId="0" fontId="22" fillId="0" borderId="10" xfId="10" applyFont="1" applyBorder="1" applyAlignment="1">
      <alignment horizontal="center" vertical="center" wrapText="1"/>
    </xf>
    <xf numFmtId="0" fontId="22" fillId="0" borderId="7" xfId="10" applyFont="1" applyBorder="1" applyAlignment="1">
      <alignment horizontal="center" vertical="center" wrapText="1"/>
    </xf>
    <xf numFmtId="0" fontId="17" fillId="0" borderId="4" xfId="10" applyFont="1" applyBorder="1" applyAlignment="1">
      <alignment vertical="center"/>
    </xf>
    <xf numFmtId="0" fontId="22" fillId="0" borderId="4" xfId="10" applyFont="1" applyBorder="1" applyAlignment="1">
      <alignment horizontal="center" vertical="center"/>
    </xf>
    <xf numFmtId="0" fontId="22" fillId="4" borderId="15" xfId="67" applyFont="1" applyFill="1" applyBorder="1" applyAlignment="1">
      <alignment horizontal="center" vertical="center"/>
    </xf>
    <xf numFmtId="0" fontId="22" fillId="4" borderId="16" xfId="67" applyFont="1" applyFill="1" applyBorder="1" applyAlignment="1">
      <alignment horizontal="center" vertical="center"/>
    </xf>
    <xf numFmtId="0" fontId="22" fillId="4" borderId="17" xfId="67" applyFont="1" applyFill="1" applyBorder="1" applyAlignment="1">
      <alignment horizontal="center" vertical="center"/>
    </xf>
    <xf numFmtId="0" fontId="22" fillId="4" borderId="18" xfId="67" applyFont="1" applyFill="1" applyBorder="1" applyAlignment="1">
      <alignment horizontal="center" vertical="center" wrapText="1"/>
    </xf>
    <xf numFmtId="0" fontId="22" fillId="4" borderId="18" xfId="67" quotePrefix="1" applyFont="1" applyFill="1" applyBorder="1" applyAlignment="1">
      <alignment horizontal="center" vertical="center" wrapText="1"/>
    </xf>
    <xf numFmtId="0" fontId="22" fillId="4" borderId="4" xfId="67" applyFont="1" applyFill="1" applyBorder="1" applyAlignment="1">
      <alignment horizontal="center" vertical="center" wrapText="1"/>
    </xf>
    <xf numFmtId="0" fontId="22" fillId="4" borderId="13" xfId="67" applyFont="1" applyFill="1" applyBorder="1" applyAlignment="1">
      <alignment horizontal="center" vertical="center" wrapText="1"/>
    </xf>
    <xf numFmtId="0" fontId="22" fillId="4" borderId="11" xfId="67" applyFont="1" applyFill="1" applyBorder="1" applyAlignment="1">
      <alignment horizontal="center" vertical="center" wrapText="1"/>
    </xf>
    <xf numFmtId="0" fontId="22" fillId="4" borderId="5" xfId="67" applyFont="1" applyFill="1" applyBorder="1" applyAlignment="1">
      <alignment horizontal="center" vertical="center" wrapText="1"/>
    </xf>
    <xf numFmtId="0" fontId="22" fillId="4" borderId="21" xfId="67" applyFont="1" applyFill="1" applyBorder="1" applyAlignment="1">
      <alignment horizontal="center" vertical="center" wrapText="1"/>
    </xf>
    <xf numFmtId="0" fontId="22" fillId="4" borderId="4" xfId="67" quotePrefix="1" applyFont="1" applyFill="1" applyBorder="1" applyAlignment="1">
      <alignment horizontal="center" vertical="center" wrapText="1"/>
    </xf>
    <xf numFmtId="0" fontId="22" fillId="4" borderId="8" xfId="67" quotePrefix="1" applyFont="1" applyFill="1" applyBorder="1" applyAlignment="1">
      <alignment horizontal="center" vertical="center" wrapText="1"/>
    </xf>
    <xf numFmtId="0" fontId="22" fillId="4" borderId="8" xfId="67" applyFont="1" applyFill="1" applyBorder="1" applyAlignment="1">
      <alignment horizontal="center" vertical="center" wrapText="1"/>
    </xf>
    <xf numFmtId="0" fontId="22" fillId="0" borderId="3" xfId="10" applyFont="1" applyBorder="1" applyAlignment="1">
      <alignment horizontal="center" vertical="center"/>
    </xf>
    <xf numFmtId="0" fontId="22" fillId="0" borderId="9" xfId="10" applyFont="1" applyBorder="1" applyAlignment="1">
      <alignment horizontal="center" vertical="center"/>
    </xf>
    <xf numFmtId="0" fontId="31" fillId="0" borderId="18" xfId="0" applyFont="1" applyBorder="1" applyAlignment="1">
      <alignment horizontal="center" vertical="center"/>
    </xf>
    <xf numFmtId="0" fontId="31" fillId="0" borderId="0" xfId="0" applyFont="1" applyAlignment="1">
      <alignment horizontal="center" vertical="center"/>
    </xf>
    <xf numFmtId="0" fontId="10" fillId="0" borderId="4" xfId="10" applyBorder="1" applyAlignment="1">
      <alignment horizontal="center" vertical="center" wrapText="1"/>
    </xf>
    <xf numFmtId="0" fontId="10" fillId="0" borderId="4" xfId="10" applyBorder="1" applyAlignment="1">
      <alignment horizontal="center" vertical="center"/>
    </xf>
    <xf numFmtId="0" fontId="22" fillId="0" borderId="18" xfId="14" applyFont="1" applyBorder="1" applyAlignment="1">
      <alignment horizontal="center" vertical="center" wrapText="1"/>
    </xf>
    <xf numFmtId="0" fontId="22" fillId="0" borderId="18" xfId="10" applyFont="1" applyBorder="1" applyAlignment="1">
      <alignment horizontal="center" vertical="center" wrapText="1"/>
    </xf>
    <xf numFmtId="0" fontId="22" fillId="0" borderId="18" xfId="14" quotePrefix="1" applyFont="1" applyBorder="1" applyAlignment="1">
      <alignment horizontal="center" vertical="center" wrapText="1"/>
    </xf>
    <xf numFmtId="0" fontId="14" fillId="0" borderId="0" xfId="10" applyFont="1" applyAlignment="1">
      <alignment horizontal="center" vertical="center"/>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0" fontId="9" fillId="0" borderId="0" xfId="0" applyFont="1" applyAlignment="1">
      <alignment horizontal="left" vertical="center"/>
    </xf>
    <xf numFmtId="2" fontId="14" fillId="0" borderId="6" xfId="0" applyNumberFormat="1" applyFont="1" applyBorder="1" applyAlignment="1">
      <alignment horizontal="right"/>
    </xf>
    <xf numFmtId="2" fontId="14" fillId="0" borderId="9" xfId="0" applyNumberFormat="1" applyFont="1" applyBorder="1" applyAlignment="1">
      <alignment horizontal="right"/>
    </xf>
    <xf numFmtId="17" fontId="22" fillId="0" borderId="19" xfId="0" applyNumberFormat="1" applyFont="1" applyBorder="1" applyAlignment="1">
      <alignment horizontal="center" vertical="center"/>
    </xf>
    <xf numFmtId="0" fontId="22" fillId="0" borderId="20" xfId="0" applyFont="1" applyBorder="1" applyAlignment="1">
      <alignment horizontal="center" vertical="center"/>
    </xf>
    <xf numFmtId="2" fontId="14" fillId="0" borderId="6" xfId="0" applyNumberFormat="1" applyFont="1" applyBorder="1" applyAlignment="1">
      <alignment horizontal="right" vertical="center"/>
    </xf>
    <xf numFmtId="2" fontId="14" fillId="0" borderId="3" xfId="0" applyNumberFormat="1" applyFont="1" applyBorder="1" applyAlignment="1">
      <alignment horizontal="right" vertical="center"/>
    </xf>
    <xf numFmtId="2" fontId="14" fillId="0" borderId="9" xfId="0" applyNumberFormat="1" applyFont="1" applyBorder="1" applyAlignment="1">
      <alignment horizontal="right" vertical="center"/>
    </xf>
    <xf numFmtId="0" fontId="22"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18" xfId="0" applyFont="1" applyBorder="1" applyAlignment="1">
      <alignment horizontal="center" vertical="center" wrapText="1"/>
    </xf>
    <xf numFmtId="0" fontId="22" fillId="0" borderId="4" xfId="0" applyFont="1" applyBorder="1" applyAlignment="1">
      <alignment horizontal="center" vertical="center"/>
    </xf>
    <xf numFmtId="0" fontId="22" fillId="0" borderId="6" xfId="10" applyFont="1" applyBorder="1" applyAlignment="1">
      <alignment horizontal="center" vertical="center"/>
    </xf>
    <xf numFmtId="0" fontId="22" fillId="0" borderId="0" xfId="14" applyFont="1" applyAlignment="1">
      <alignment horizontal="center" vertical="center"/>
    </xf>
    <xf numFmtId="0" fontId="22" fillId="0" borderId="18" xfId="10" applyFont="1" applyBorder="1" applyAlignment="1">
      <alignment horizontal="center" vertical="center"/>
    </xf>
    <xf numFmtId="0" fontId="38" fillId="0" borderId="18" xfId="10" applyFont="1" applyBorder="1" applyAlignment="1">
      <alignment horizontal="center" vertical="center" wrapText="1"/>
    </xf>
    <xf numFmtId="0" fontId="14" fillId="0" borderId="8" xfId="10" applyFont="1" applyBorder="1" applyAlignment="1">
      <alignment vertical="center"/>
    </xf>
    <xf numFmtId="2" fontId="14" fillId="0" borderId="8" xfId="10" applyNumberFormat="1" applyFont="1" applyBorder="1" applyAlignment="1">
      <alignment horizontal="center" vertical="center"/>
    </xf>
    <xf numFmtId="0" fontId="14" fillId="0" borderId="8" xfId="10" applyFont="1" applyBorder="1" applyAlignment="1">
      <alignment vertical="center" wrapText="1"/>
    </xf>
    <xf numFmtId="0" fontId="39" fillId="0" borderId="18" xfId="0" applyFont="1" applyBorder="1" applyAlignment="1">
      <alignment horizontal="center" vertical="center" wrapText="1"/>
    </xf>
    <xf numFmtId="0" fontId="17" fillId="0" borderId="8" xfId="10" applyFont="1" applyBorder="1" applyAlignment="1">
      <alignment vertical="center"/>
    </xf>
    <xf numFmtId="2" fontId="22" fillId="0" borderId="18" xfId="10" applyNumberFormat="1" applyFont="1" applyBorder="1" applyAlignment="1">
      <alignment horizontal="center" vertical="center"/>
    </xf>
    <xf numFmtId="0" fontId="39" fillId="0" borderId="18" xfId="0" applyFont="1" applyBorder="1" applyAlignment="1">
      <alignment vertical="center" wrapText="1"/>
    </xf>
    <xf numFmtId="0" fontId="22" fillId="0" borderId="8" xfId="10" applyFont="1" applyBorder="1" applyAlignment="1">
      <alignment vertical="top" wrapText="1"/>
    </xf>
    <xf numFmtId="0" fontId="39" fillId="0" borderId="18" xfId="0" applyFont="1" applyBorder="1" applyAlignment="1">
      <alignment vertical="top" wrapText="1"/>
    </xf>
    <xf numFmtId="0" fontId="17" fillId="0" borderId="18" xfId="0" applyFont="1" applyBorder="1" applyAlignment="1">
      <alignment vertical="top" wrapText="1"/>
    </xf>
    <xf numFmtId="0" fontId="39" fillId="0" borderId="8" xfId="0" applyFont="1" applyBorder="1" applyAlignment="1">
      <alignment vertical="center" wrapText="1"/>
    </xf>
  </cellXfs>
  <cellStyles count="490">
    <cellStyle name="Body" xfId="1"/>
    <cellStyle name="Comma" xfId="70" builtinId="3"/>
    <cellStyle name="Comma  - Style1" xfId="2"/>
    <cellStyle name="Comma 10" xfId="94"/>
    <cellStyle name="Comma 10 2" xfId="95"/>
    <cellStyle name="Comma 10 3" xfId="251"/>
    <cellStyle name="Comma 10 4" xfId="264"/>
    <cellStyle name="Comma 10 5" xfId="469"/>
    <cellStyle name="Comma 11" xfId="96"/>
    <cellStyle name="Comma 11 2" xfId="19"/>
    <cellStyle name="Comma 11 2 10" xfId="435"/>
    <cellStyle name="Comma 11 2 11" xfId="471"/>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1 2_F2.1" xfId="472"/>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19" xfId="462"/>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61"/>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11" xfId="467"/>
    <cellStyle name="Comma 3 2" xfId="61"/>
    <cellStyle name="Comma 3 2 2" xfId="76"/>
    <cellStyle name="Comma 3 2 3" xfId="436"/>
    <cellStyle name="Comma 3 3" xfId="157"/>
    <cellStyle name="Comma 3 4" xfId="301"/>
    <cellStyle name="Comma 3 5" xfId="361"/>
    <cellStyle name="Comma 3 6" xfId="379"/>
    <cellStyle name="Comma 3 7" xfId="396"/>
    <cellStyle name="Comma 3 8" xfId="412"/>
    <cellStyle name="Comma 3 9" xfId="426"/>
    <cellStyle name="Comma 3_F2.1" xfId="473"/>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50" xfId="460"/>
    <cellStyle name="Comma 51" xfId="483"/>
    <cellStyle name="Comma 52" xfId="486"/>
    <cellStyle name="Comma 53" xfId="487"/>
    <cellStyle name="Comma 54" xfId="484"/>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 4" xfId="470"/>
    <cellStyle name="Normal 14 2_F2.1" xfId="475"/>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6 2" xfId="463"/>
    <cellStyle name="Normal 16_F2.1" xfId="476"/>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 3" xfId="468"/>
    <cellStyle name="Normal 2 2_F2.1" xfId="477"/>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4 2" xfId="464"/>
    <cellStyle name="Normal 24_F2.1" xfId="478"/>
    <cellStyle name="Normal 25" xfId="219"/>
    <cellStyle name="Normal 25 2" xfId="466"/>
    <cellStyle name="Normal 25_F2.1" xfId="479"/>
    <cellStyle name="Normal 26" xfId="220"/>
    <cellStyle name="Normal 26 2" xfId="465"/>
    <cellStyle name="Normal 26_F2.1" xfId="480"/>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43" xfId="459"/>
    <cellStyle name="Normal 44" xfId="482"/>
    <cellStyle name="Normal 45" xfId="485"/>
    <cellStyle name="Normal 46" xfId="488"/>
    <cellStyle name="Normal 47" xfId="489"/>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2.1" xfId="474"/>
    <cellStyle name="Normal_F2.2" xfId="481"/>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F16" sqref="F16"/>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312" t="s">
        <v>393</v>
      </c>
      <c r="C1" s="312"/>
      <c r="D1" s="313"/>
      <c r="E1" s="313"/>
      <c r="F1" s="1"/>
      <c r="G1" s="1"/>
      <c r="H1" s="1"/>
    </row>
    <row r="2" spans="2:8" ht="15.75" x14ac:dyDescent="0.2">
      <c r="B2" s="312" t="s">
        <v>399</v>
      </c>
      <c r="C2" s="312"/>
      <c r="D2" s="313"/>
      <c r="E2" s="313"/>
      <c r="F2" s="1"/>
      <c r="G2" s="1"/>
      <c r="H2" s="1"/>
    </row>
    <row r="3" spans="2:8" s="10" customFormat="1" ht="15.75" x14ac:dyDescent="0.2">
      <c r="B3" s="314" t="s">
        <v>363</v>
      </c>
      <c r="C3" s="314"/>
      <c r="D3" s="315"/>
      <c r="E3" s="315"/>
      <c r="F3" s="1"/>
      <c r="G3" s="1"/>
      <c r="H3" s="1"/>
    </row>
    <row r="4" spans="2:8" ht="15.75" x14ac:dyDescent="0.2">
      <c r="D4" s="67" t="s">
        <v>365</v>
      </c>
    </row>
    <row r="5" spans="2:8" ht="15.75" x14ac:dyDescent="0.2">
      <c r="B5" s="11" t="s">
        <v>188</v>
      </c>
      <c r="C5" s="11" t="s">
        <v>364</v>
      </c>
      <c r="D5" s="12" t="s">
        <v>7</v>
      </c>
      <c r="E5" s="12" t="s">
        <v>366</v>
      </c>
    </row>
    <row r="6" spans="2:8" x14ac:dyDescent="0.2">
      <c r="B6" s="7">
        <v>1</v>
      </c>
      <c r="C6" s="7" t="s">
        <v>6</v>
      </c>
      <c r="D6" s="149" t="s">
        <v>368</v>
      </c>
      <c r="E6" s="8"/>
    </row>
    <row r="7" spans="2:8" x14ac:dyDescent="0.2">
      <c r="B7" s="7">
        <f>B6+1</f>
        <v>2</v>
      </c>
      <c r="C7" s="7" t="s">
        <v>258</v>
      </c>
      <c r="D7" s="149" t="s">
        <v>370</v>
      </c>
      <c r="E7" s="8"/>
    </row>
    <row r="8" spans="2:8" x14ac:dyDescent="0.2">
      <c r="B8" s="7">
        <f>B7+1</f>
        <v>3</v>
      </c>
      <c r="C8" s="7" t="s">
        <v>20</v>
      </c>
      <c r="D8" s="149" t="s">
        <v>371</v>
      </c>
      <c r="E8" s="8"/>
    </row>
    <row r="9" spans="2:8" x14ac:dyDescent="0.2">
      <c r="B9" s="7">
        <f>B8+1</f>
        <v>4</v>
      </c>
      <c r="C9" s="7" t="s">
        <v>21</v>
      </c>
      <c r="D9" s="149" t="s">
        <v>372</v>
      </c>
      <c r="E9" s="8"/>
    </row>
    <row r="10" spans="2:8" x14ac:dyDescent="0.2">
      <c r="B10" s="7">
        <f>B9+1</f>
        <v>5</v>
      </c>
      <c r="C10" s="7" t="s">
        <v>259</v>
      </c>
      <c r="D10" s="149" t="s">
        <v>373</v>
      </c>
      <c r="E10" s="8"/>
    </row>
    <row r="11" spans="2:8" ht="30" x14ac:dyDescent="0.2">
      <c r="B11" s="7">
        <f t="shared" ref="B11:B26" si="0">B10+1</f>
        <v>6</v>
      </c>
      <c r="C11" s="7" t="s">
        <v>18</v>
      </c>
      <c r="D11" s="149" t="s">
        <v>212</v>
      </c>
      <c r="E11" s="8"/>
    </row>
    <row r="12" spans="2:8" ht="30" x14ac:dyDescent="0.2">
      <c r="B12" s="7">
        <f t="shared" si="0"/>
        <v>7</v>
      </c>
      <c r="C12" s="7" t="s">
        <v>23</v>
      </c>
      <c r="D12" s="149" t="s">
        <v>374</v>
      </c>
      <c r="E12" s="8"/>
    </row>
    <row r="13" spans="2:8" x14ac:dyDescent="0.2">
      <c r="B13" s="7">
        <f t="shared" si="0"/>
        <v>8</v>
      </c>
      <c r="C13" s="7" t="s">
        <v>24</v>
      </c>
      <c r="D13" s="9" t="s">
        <v>185</v>
      </c>
      <c r="E13" s="8"/>
    </row>
    <row r="14" spans="2:8" x14ac:dyDescent="0.2">
      <c r="B14" s="7">
        <f t="shared" si="0"/>
        <v>9</v>
      </c>
      <c r="C14" s="7" t="s">
        <v>19</v>
      </c>
      <c r="D14" s="9" t="s">
        <v>375</v>
      </c>
      <c r="E14" s="8"/>
    </row>
    <row r="15" spans="2:8" x14ac:dyDescent="0.2">
      <c r="B15" s="7">
        <f t="shared" si="0"/>
        <v>10</v>
      </c>
      <c r="C15" s="7" t="s">
        <v>25</v>
      </c>
      <c r="D15" s="149" t="s">
        <v>225</v>
      </c>
      <c r="E15" s="8"/>
    </row>
    <row r="16" spans="2:8" x14ac:dyDescent="0.2">
      <c r="B16" s="7">
        <f t="shared" si="0"/>
        <v>11</v>
      </c>
      <c r="C16" s="7" t="s">
        <v>26</v>
      </c>
      <c r="D16" s="9" t="s">
        <v>279</v>
      </c>
      <c r="E16" s="8"/>
    </row>
    <row r="17" spans="2:5" x14ac:dyDescent="0.2">
      <c r="B17" s="7">
        <f t="shared" si="0"/>
        <v>12</v>
      </c>
      <c r="C17" s="7" t="s">
        <v>27</v>
      </c>
      <c r="D17" s="9" t="s">
        <v>226</v>
      </c>
      <c r="E17" s="8"/>
    </row>
    <row r="18" spans="2:5" x14ac:dyDescent="0.2">
      <c r="B18" s="7">
        <f t="shared" si="0"/>
        <v>13</v>
      </c>
      <c r="C18" s="7" t="s">
        <v>28</v>
      </c>
      <c r="D18" s="9" t="s">
        <v>152</v>
      </c>
      <c r="E18" s="8"/>
    </row>
    <row r="19" spans="2:5" x14ac:dyDescent="0.2">
      <c r="B19" s="7">
        <f t="shared" si="0"/>
        <v>14</v>
      </c>
      <c r="C19" s="7" t="s">
        <v>29</v>
      </c>
      <c r="D19" s="9" t="s">
        <v>22</v>
      </c>
      <c r="E19" s="8"/>
    </row>
    <row r="20" spans="2:5" x14ac:dyDescent="0.2">
      <c r="B20" s="7">
        <f t="shared" si="0"/>
        <v>15</v>
      </c>
      <c r="C20" s="7" t="s">
        <v>30</v>
      </c>
      <c r="D20" s="149" t="s">
        <v>376</v>
      </c>
      <c r="E20" s="8"/>
    </row>
    <row r="21" spans="2:5" ht="30" x14ac:dyDescent="0.2">
      <c r="B21" s="7">
        <f t="shared" si="0"/>
        <v>16</v>
      </c>
      <c r="C21" s="7" t="s">
        <v>31</v>
      </c>
      <c r="D21" s="149" t="s">
        <v>377</v>
      </c>
      <c r="E21" s="8"/>
    </row>
    <row r="22" spans="2:5" x14ac:dyDescent="0.2">
      <c r="B22" s="7">
        <f t="shared" si="0"/>
        <v>17</v>
      </c>
      <c r="C22" s="7" t="s">
        <v>160</v>
      </c>
      <c r="D22" s="149" t="s">
        <v>229</v>
      </c>
      <c r="E22" s="8"/>
    </row>
    <row r="23" spans="2:5" x14ac:dyDescent="0.2">
      <c r="B23" s="7">
        <f t="shared" si="0"/>
        <v>18</v>
      </c>
      <c r="C23" s="7" t="s">
        <v>164</v>
      </c>
      <c r="D23" s="149" t="s">
        <v>378</v>
      </c>
      <c r="E23" s="8"/>
    </row>
    <row r="24" spans="2:5" x14ac:dyDescent="0.2">
      <c r="B24" s="7">
        <f t="shared" si="0"/>
        <v>19</v>
      </c>
      <c r="C24" s="7" t="s">
        <v>367</v>
      </c>
      <c r="D24" s="149" t="s">
        <v>220</v>
      </c>
      <c r="E24" s="8"/>
    </row>
    <row r="25" spans="2:5" x14ac:dyDescent="0.2">
      <c r="B25" s="7">
        <f t="shared" si="0"/>
        <v>20</v>
      </c>
      <c r="C25" s="7" t="s">
        <v>214</v>
      </c>
      <c r="D25" s="149" t="s">
        <v>379</v>
      </c>
      <c r="E25" s="8"/>
    </row>
    <row r="26" spans="2:5" x14ac:dyDescent="0.2">
      <c r="B26" s="7">
        <f t="shared" si="0"/>
        <v>21</v>
      </c>
      <c r="C26" s="7" t="s">
        <v>215</v>
      </c>
      <c r="D26" s="9" t="s">
        <v>380</v>
      </c>
      <c r="E26" s="8"/>
    </row>
  </sheetData>
  <mergeCells count="3">
    <mergeCell ref="B1:E1"/>
    <mergeCell ref="B3:E3"/>
    <mergeCell ref="B2:E2"/>
  </mergeCells>
  <phoneticPr fontId="13"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8"/>
  <sheetViews>
    <sheetView topLeftCell="A35" zoomScale="93" zoomScaleNormal="93" zoomScaleSheetLayoutView="90" workbookViewId="0">
      <selection activeCell="L12" sqref="L12"/>
    </sheetView>
  </sheetViews>
  <sheetFormatPr defaultColWidth="9.28515625" defaultRowHeight="14.25" x14ac:dyDescent="0.2"/>
  <cols>
    <col min="1" max="1" width="3.140625" style="5" customWidth="1"/>
    <col min="2" max="2" width="5.140625" style="5" customWidth="1"/>
    <col min="3" max="3" width="32" style="5" customWidth="1"/>
    <col min="4" max="4" width="7" style="5" customWidth="1"/>
    <col min="5" max="5" width="14.140625" style="5" customWidth="1"/>
    <col min="6" max="6" width="12.28515625" style="5" customWidth="1"/>
    <col min="7" max="7" width="11" style="5" customWidth="1"/>
    <col min="8" max="8" width="13.140625" style="5" customWidth="1"/>
    <col min="9" max="9" width="10.7109375" style="5" customWidth="1"/>
    <col min="10" max="10" width="14.140625" style="5" customWidth="1"/>
    <col min="11" max="11" width="11.140625" style="5" customWidth="1"/>
    <col min="12" max="12" width="9.42578125" style="5" customWidth="1"/>
    <col min="13" max="13" width="12.85546875" style="5" customWidth="1"/>
    <col min="14" max="14" width="12.5703125" style="5" customWidth="1"/>
    <col min="15" max="15" width="10.7109375" style="5" customWidth="1"/>
    <col min="16" max="21" width="11.7109375" style="5" bestFit="1" customWidth="1"/>
    <col min="22" max="16384" width="9.28515625" style="5"/>
  </cols>
  <sheetData>
    <row r="1" spans="2:15" ht="6" customHeight="1" x14ac:dyDescent="0.2">
      <c r="B1" s="24"/>
    </row>
    <row r="2" spans="2:15" ht="15" x14ac:dyDescent="0.2">
      <c r="H2" s="32" t="s">
        <v>394</v>
      </c>
      <c r="I2" s="33"/>
    </row>
    <row r="3" spans="2:15" ht="15" x14ac:dyDescent="0.2">
      <c r="H3" s="32" t="s">
        <v>397</v>
      </c>
      <c r="I3" s="33"/>
    </row>
    <row r="4" spans="2:15" ht="15" x14ac:dyDescent="0.2">
      <c r="H4" s="35" t="s">
        <v>264</v>
      </c>
      <c r="I4" s="35"/>
    </row>
    <row r="5" spans="2:15" ht="10.5" customHeight="1" x14ac:dyDescent="0.2">
      <c r="K5" s="35"/>
      <c r="N5" s="32" t="s">
        <v>506</v>
      </c>
    </row>
    <row r="6" spans="2:15" ht="7.5" customHeight="1" thickBot="1" x14ac:dyDescent="0.25">
      <c r="F6" s="132"/>
      <c r="G6" s="132"/>
      <c r="H6" s="132"/>
      <c r="I6" s="132"/>
      <c r="J6" s="132"/>
      <c r="K6" s="132"/>
      <c r="L6" s="132"/>
      <c r="M6" s="132"/>
      <c r="N6" s="132"/>
      <c r="O6" s="132"/>
    </row>
    <row r="7" spans="2:15" ht="15" x14ac:dyDescent="0.2">
      <c r="B7" s="337" t="s">
        <v>395</v>
      </c>
      <c r="C7" s="338"/>
      <c r="D7" s="338"/>
      <c r="E7" s="338"/>
      <c r="F7" s="338"/>
      <c r="G7" s="338"/>
      <c r="H7" s="338"/>
      <c r="I7" s="338"/>
      <c r="J7" s="338"/>
      <c r="K7" s="338"/>
      <c r="L7" s="338"/>
      <c r="M7" s="338"/>
      <c r="N7" s="338"/>
      <c r="O7" s="339"/>
    </row>
    <row r="8" spans="2:15" ht="14.25" customHeight="1" x14ac:dyDescent="0.2">
      <c r="B8" s="345" t="s">
        <v>2</v>
      </c>
      <c r="C8" s="347" t="s">
        <v>257</v>
      </c>
      <c r="D8" s="342" t="s">
        <v>246</v>
      </c>
      <c r="E8" s="342" t="s">
        <v>247</v>
      </c>
      <c r="F8" s="342" t="s">
        <v>248</v>
      </c>
      <c r="G8" s="342"/>
      <c r="H8" s="342"/>
      <c r="I8" s="342"/>
      <c r="J8" s="342" t="s">
        <v>249</v>
      </c>
      <c r="K8" s="342"/>
      <c r="L8" s="342"/>
      <c r="M8" s="342"/>
      <c r="N8" s="342" t="s">
        <v>250</v>
      </c>
      <c r="O8" s="344"/>
    </row>
    <row r="9" spans="2:15" ht="60" x14ac:dyDescent="0.2">
      <c r="B9" s="346"/>
      <c r="C9" s="348"/>
      <c r="D9" s="349"/>
      <c r="E9" s="349"/>
      <c r="F9" s="210" t="s">
        <v>251</v>
      </c>
      <c r="G9" s="210" t="s">
        <v>134</v>
      </c>
      <c r="H9" s="210" t="s">
        <v>252</v>
      </c>
      <c r="I9" s="210" t="s">
        <v>253</v>
      </c>
      <c r="J9" s="210" t="s">
        <v>254</v>
      </c>
      <c r="K9" s="210" t="s">
        <v>134</v>
      </c>
      <c r="L9" s="210" t="s">
        <v>255</v>
      </c>
      <c r="M9" s="210" t="s">
        <v>256</v>
      </c>
      <c r="N9" s="210" t="s">
        <v>251</v>
      </c>
      <c r="O9" s="211" t="s">
        <v>253</v>
      </c>
    </row>
    <row r="10" spans="2:15" x14ac:dyDescent="0.2">
      <c r="B10" s="212">
        <v>1</v>
      </c>
      <c r="C10" s="213" t="s">
        <v>464</v>
      </c>
      <c r="D10" s="214">
        <v>1000</v>
      </c>
      <c r="E10" s="215"/>
      <c r="F10" s="221">
        <v>3.5194374000000002</v>
      </c>
      <c r="G10" s="221">
        <v>0</v>
      </c>
      <c r="H10" s="222"/>
      <c r="I10" s="223">
        <f>F10+G10+H10</f>
        <v>3.5194374000000002</v>
      </c>
      <c r="J10" s="221">
        <v>0</v>
      </c>
      <c r="K10" s="221">
        <v>0</v>
      </c>
      <c r="L10" s="222"/>
      <c r="M10" s="223">
        <f>J10+K10+L10</f>
        <v>0</v>
      </c>
      <c r="N10" s="222">
        <f>+F10-J10</f>
        <v>3.5194374000000002</v>
      </c>
      <c r="O10" s="222">
        <f>+I10-M10</f>
        <v>3.5194374000000002</v>
      </c>
    </row>
    <row r="11" spans="2:15" x14ac:dyDescent="0.2">
      <c r="B11" s="212">
        <v>2</v>
      </c>
      <c r="C11" s="213" t="s">
        <v>465</v>
      </c>
      <c r="D11" s="214">
        <v>1100</v>
      </c>
      <c r="E11" s="215"/>
      <c r="F11" s="221">
        <v>92.475650603999995</v>
      </c>
      <c r="G11" s="221">
        <v>0</v>
      </c>
      <c r="H11" s="222"/>
      <c r="I11" s="223">
        <f t="shared" ref="I11:I21" si="0">F11+G11+H11</f>
        <v>92.475650603999995</v>
      </c>
      <c r="J11" s="221">
        <v>83.22808554400001</v>
      </c>
      <c r="K11" s="221">
        <v>0</v>
      </c>
      <c r="L11" s="222"/>
      <c r="M11" s="223">
        <f t="shared" ref="M11:M21" si="1">J11+K11+L11</f>
        <v>83.22808554400001</v>
      </c>
      <c r="N11" s="222">
        <f t="shared" ref="N11:N21" si="2">+F11-J11</f>
        <v>9.2475650599999852</v>
      </c>
      <c r="O11" s="222">
        <f t="shared" ref="O11:O21" si="3">+I11-M11</f>
        <v>9.2475650599999852</v>
      </c>
    </row>
    <row r="12" spans="2:15" x14ac:dyDescent="0.2">
      <c r="B12" s="212">
        <v>3</v>
      </c>
      <c r="C12" s="213" t="s">
        <v>466</v>
      </c>
      <c r="D12" s="214">
        <v>1200</v>
      </c>
      <c r="E12" s="216"/>
      <c r="F12" s="221">
        <v>69.157474140999994</v>
      </c>
      <c r="G12" s="221">
        <v>0.50409878799999996</v>
      </c>
      <c r="H12" s="222"/>
      <c r="I12" s="223">
        <f t="shared" si="0"/>
        <v>69.661572928999988</v>
      </c>
      <c r="J12" s="221">
        <v>62.241726725999996</v>
      </c>
      <c r="K12" s="221">
        <v>7.4796161999999999E-2</v>
      </c>
      <c r="L12" s="222"/>
      <c r="M12" s="223">
        <f t="shared" si="1"/>
        <v>62.316522887999994</v>
      </c>
      <c r="N12" s="222">
        <f t="shared" si="2"/>
        <v>6.9157474149999985</v>
      </c>
      <c r="O12" s="222">
        <f t="shared" si="3"/>
        <v>7.3450500409999933</v>
      </c>
    </row>
    <row r="13" spans="2:15" x14ac:dyDescent="0.2">
      <c r="B13" s="212">
        <v>4</v>
      </c>
      <c r="C13" s="213" t="s">
        <v>467</v>
      </c>
      <c r="D13" s="214">
        <v>1300</v>
      </c>
      <c r="E13" s="216"/>
      <c r="F13" s="224">
        <v>1732.908698081</v>
      </c>
      <c r="G13" s="221">
        <v>10.885114359999999</v>
      </c>
      <c r="H13" s="222"/>
      <c r="I13" s="223">
        <f t="shared" si="0"/>
        <v>1743.793812441</v>
      </c>
      <c r="J13" s="221">
        <v>1418.1422160659999</v>
      </c>
      <c r="K13" s="221">
        <v>27.896554116000001</v>
      </c>
      <c r="L13" s="222"/>
      <c r="M13" s="223">
        <f t="shared" si="1"/>
        <v>1446.038770182</v>
      </c>
      <c r="N13" s="222">
        <f t="shared" si="2"/>
        <v>314.76648201500007</v>
      </c>
      <c r="O13" s="222">
        <f t="shared" si="3"/>
        <v>297.75504225899999</v>
      </c>
    </row>
    <row r="14" spans="2:15" x14ac:dyDescent="0.2">
      <c r="B14" s="212">
        <f>B13+1</f>
        <v>5</v>
      </c>
      <c r="C14" s="213" t="s">
        <v>468</v>
      </c>
      <c r="D14" s="214">
        <v>1400</v>
      </c>
      <c r="E14" s="216"/>
      <c r="F14" s="221">
        <v>51.957960874000001</v>
      </c>
      <c r="G14" s="221">
        <v>0</v>
      </c>
      <c r="H14" s="222"/>
      <c r="I14" s="223">
        <f>F14+G14+H14</f>
        <v>51.957960874000001</v>
      </c>
      <c r="J14" s="221">
        <v>51.957960874000001</v>
      </c>
      <c r="K14" s="221">
        <v>0</v>
      </c>
      <c r="L14" s="222"/>
      <c r="M14" s="223">
        <f t="shared" si="1"/>
        <v>51.957960874000001</v>
      </c>
      <c r="N14" s="222">
        <f t="shared" si="2"/>
        <v>0</v>
      </c>
      <c r="O14" s="222">
        <f t="shared" si="3"/>
        <v>0</v>
      </c>
    </row>
    <row r="15" spans="2:15" x14ac:dyDescent="0.2">
      <c r="B15" s="212">
        <f t="shared" ref="B15:B21" si="4">B14+1</f>
        <v>6</v>
      </c>
      <c r="C15" s="213" t="s">
        <v>469</v>
      </c>
      <c r="D15" s="214">
        <v>1500</v>
      </c>
      <c r="E15" s="216"/>
      <c r="F15" s="221">
        <v>195.84311880000001</v>
      </c>
      <c r="G15" s="221">
        <v>0</v>
      </c>
      <c r="H15" s="222"/>
      <c r="I15" s="223">
        <f t="shared" si="0"/>
        <v>195.84311880000001</v>
      </c>
      <c r="J15" s="221">
        <v>176.25880692000001</v>
      </c>
      <c r="K15" s="221">
        <v>0</v>
      </c>
      <c r="L15" s="222"/>
      <c r="M15" s="223">
        <f t="shared" si="1"/>
        <v>176.25880692000001</v>
      </c>
      <c r="N15" s="222">
        <f t="shared" si="2"/>
        <v>19.584311880000001</v>
      </c>
      <c r="O15" s="222">
        <f t="shared" si="3"/>
        <v>19.584311880000001</v>
      </c>
    </row>
    <row r="16" spans="2:15" x14ac:dyDescent="0.2">
      <c r="B16" s="212">
        <f t="shared" si="4"/>
        <v>7</v>
      </c>
      <c r="C16" s="213" t="s">
        <v>470</v>
      </c>
      <c r="D16" s="214">
        <v>1600</v>
      </c>
      <c r="E16" s="216"/>
      <c r="F16" s="221">
        <v>117.549293131</v>
      </c>
      <c r="G16" s="221">
        <v>0</v>
      </c>
      <c r="H16" s="222"/>
      <c r="I16" s="223">
        <f t="shared" si="0"/>
        <v>117.549293131</v>
      </c>
      <c r="J16" s="221">
        <v>105.79436381699999</v>
      </c>
      <c r="K16" s="221">
        <v>0</v>
      </c>
      <c r="L16" s="222"/>
      <c r="M16" s="223">
        <f t="shared" si="1"/>
        <v>105.79436381699999</v>
      </c>
      <c r="N16" s="222">
        <f t="shared" si="2"/>
        <v>11.754929314000009</v>
      </c>
      <c r="O16" s="222">
        <f t="shared" si="3"/>
        <v>11.754929314000009</v>
      </c>
    </row>
    <row r="17" spans="2:15" x14ac:dyDescent="0.2">
      <c r="B17" s="212">
        <f t="shared" si="4"/>
        <v>8</v>
      </c>
      <c r="C17" s="213" t="s">
        <v>471</v>
      </c>
      <c r="D17" s="214">
        <v>1700</v>
      </c>
      <c r="E17" s="216"/>
      <c r="F17" s="221">
        <v>0.99960432799999999</v>
      </c>
      <c r="G17" s="221">
        <v>0</v>
      </c>
      <c r="H17" s="222"/>
      <c r="I17" s="223">
        <f t="shared" si="0"/>
        <v>0.99960432799999999</v>
      </c>
      <c r="J17" s="221">
        <v>0.34193715299999999</v>
      </c>
      <c r="K17" s="221">
        <v>0.40874862000000001</v>
      </c>
      <c r="L17" s="222"/>
      <c r="M17" s="223">
        <f t="shared" si="1"/>
        <v>0.75068577300000006</v>
      </c>
      <c r="N17" s="222">
        <f t="shared" si="2"/>
        <v>0.65766717500000005</v>
      </c>
      <c r="O17" s="222">
        <f t="shared" si="3"/>
        <v>0.24891855499999993</v>
      </c>
    </row>
    <row r="18" spans="2:15" x14ac:dyDescent="0.2">
      <c r="B18" s="212">
        <f t="shared" si="4"/>
        <v>9</v>
      </c>
      <c r="C18" s="213" t="s">
        <v>472</v>
      </c>
      <c r="D18" s="214">
        <v>1800</v>
      </c>
      <c r="E18" s="216"/>
      <c r="F18" s="221">
        <v>1.21241504</v>
      </c>
      <c r="G18" s="221">
        <v>0</v>
      </c>
      <c r="H18" s="222"/>
      <c r="I18" s="223">
        <f t="shared" si="0"/>
        <v>1.21241504</v>
      </c>
      <c r="J18" s="221">
        <v>0.84803927899999987</v>
      </c>
      <c r="K18" s="221">
        <v>3.6822665000000004E-2</v>
      </c>
      <c r="L18" s="222"/>
      <c r="M18" s="223">
        <f t="shared" si="1"/>
        <v>0.88486194399999984</v>
      </c>
      <c r="N18" s="222">
        <f t="shared" si="2"/>
        <v>0.36437576100000013</v>
      </c>
      <c r="O18" s="222">
        <f t="shared" si="3"/>
        <v>0.32755309600000015</v>
      </c>
    </row>
    <row r="19" spans="2:15" x14ac:dyDescent="0.2">
      <c r="B19" s="212">
        <f t="shared" si="4"/>
        <v>10</v>
      </c>
      <c r="C19" s="213" t="s">
        <v>403</v>
      </c>
      <c r="D19" s="214">
        <v>1900</v>
      </c>
      <c r="E19" s="216"/>
      <c r="F19" s="221">
        <v>3.0697022860000001</v>
      </c>
      <c r="G19" s="221">
        <v>5.2569000000000001E-3</v>
      </c>
      <c r="H19" s="222"/>
      <c r="I19" s="223">
        <f t="shared" si="0"/>
        <v>3.0749591860000001</v>
      </c>
      <c r="J19" s="221">
        <v>2.5982884519999998</v>
      </c>
      <c r="K19" s="221">
        <v>0.343829457</v>
      </c>
      <c r="L19" s="222"/>
      <c r="M19" s="223">
        <f t="shared" si="1"/>
        <v>2.9421179089999998</v>
      </c>
      <c r="N19" s="222">
        <f t="shared" si="2"/>
        <v>0.47141383400000025</v>
      </c>
      <c r="O19" s="222">
        <f t="shared" si="3"/>
        <v>0.13284127700000026</v>
      </c>
    </row>
    <row r="20" spans="2:15" x14ac:dyDescent="0.2">
      <c r="B20" s="212">
        <f t="shared" si="4"/>
        <v>11</v>
      </c>
      <c r="C20" s="213" t="s">
        <v>473</v>
      </c>
      <c r="D20" s="214">
        <v>2100</v>
      </c>
      <c r="E20" s="216"/>
      <c r="F20" s="221">
        <v>1.328440815</v>
      </c>
      <c r="G20" s="221">
        <v>0.15068200000000001</v>
      </c>
      <c r="H20" s="222"/>
      <c r="I20" s="223">
        <f t="shared" si="0"/>
        <v>1.479122815</v>
      </c>
      <c r="J20" s="221">
        <v>0.83037066900000001</v>
      </c>
      <c r="K20" s="221">
        <v>0.42924898</v>
      </c>
      <c r="L20" s="222"/>
      <c r="M20" s="223">
        <f t="shared" si="1"/>
        <v>1.259619649</v>
      </c>
      <c r="N20" s="222">
        <f t="shared" si="2"/>
        <v>0.49807014599999999</v>
      </c>
      <c r="O20" s="222">
        <f t="shared" si="3"/>
        <v>0.21950316599999997</v>
      </c>
    </row>
    <row r="21" spans="2:15" x14ac:dyDescent="0.2">
      <c r="B21" s="212">
        <f t="shared" si="4"/>
        <v>12</v>
      </c>
      <c r="C21" s="213" t="s">
        <v>474</v>
      </c>
      <c r="D21" s="214">
        <v>2200</v>
      </c>
      <c r="E21" s="216"/>
      <c r="F21" s="221">
        <v>1.8204499999999998E-2</v>
      </c>
      <c r="G21" s="221">
        <v>0</v>
      </c>
      <c r="H21" s="222"/>
      <c r="I21" s="223">
        <f t="shared" si="0"/>
        <v>1.8204499999999998E-2</v>
      </c>
      <c r="J21" s="221">
        <v>1.8204499999999998E-2</v>
      </c>
      <c r="K21" s="221">
        <v>0</v>
      </c>
      <c r="L21" s="222"/>
      <c r="M21" s="223">
        <f t="shared" si="1"/>
        <v>1.8204499999999998E-2</v>
      </c>
      <c r="N21" s="222">
        <f t="shared" si="2"/>
        <v>0</v>
      </c>
      <c r="O21" s="222">
        <f t="shared" si="3"/>
        <v>0</v>
      </c>
    </row>
    <row r="22" spans="2:15" s="49" customFormat="1" ht="15" x14ac:dyDescent="0.2">
      <c r="B22" s="217"/>
      <c r="C22" s="218" t="s">
        <v>135</v>
      </c>
      <c r="D22" s="218"/>
      <c r="E22" s="219">
        <f>IFERROR((K22-L22)/AVERAGE(F22,I22),0)</f>
        <v>1.2826174359515163E-2</v>
      </c>
      <c r="F22" s="225">
        <f t="shared" ref="F22:O22" si="5">ROUND(SUM(F10:F21),2)</f>
        <v>2270.04</v>
      </c>
      <c r="G22" s="225">
        <f t="shared" si="5"/>
        <v>11.55</v>
      </c>
      <c r="H22" s="225">
        <f t="shared" si="5"/>
        <v>0</v>
      </c>
      <c r="I22" s="225">
        <f t="shared" si="5"/>
        <v>2281.59</v>
      </c>
      <c r="J22" s="225">
        <f t="shared" si="5"/>
        <v>1902.26</v>
      </c>
      <c r="K22" s="225">
        <f t="shared" si="5"/>
        <v>29.19</v>
      </c>
      <c r="L22" s="225">
        <f t="shared" si="5"/>
        <v>0</v>
      </c>
      <c r="M22" s="225">
        <f t="shared" si="5"/>
        <v>1931.45</v>
      </c>
      <c r="N22" s="225">
        <f t="shared" si="5"/>
        <v>367.78</v>
      </c>
      <c r="O22" s="225">
        <f t="shared" si="5"/>
        <v>350.14</v>
      </c>
    </row>
    <row r="23" spans="2:15" ht="15" thickBot="1" x14ac:dyDescent="0.25">
      <c r="F23" s="145"/>
      <c r="G23" s="178"/>
      <c r="H23" s="145"/>
      <c r="I23" s="178"/>
      <c r="J23" s="145"/>
      <c r="K23" s="145"/>
      <c r="L23" s="145"/>
      <c r="M23" s="145"/>
      <c r="N23" s="145"/>
      <c r="O23" s="179"/>
    </row>
    <row r="24" spans="2:15" ht="15" x14ac:dyDescent="0.2">
      <c r="B24" s="337" t="s">
        <v>396</v>
      </c>
      <c r="C24" s="338"/>
      <c r="D24" s="338"/>
      <c r="E24" s="338"/>
      <c r="F24" s="338"/>
      <c r="G24" s="338"/>
      <c r="H24" s="338"/>
      <c r="I24" s="338"/>
      <c r="J24" s="338"/>
      <c r="K24" s="338"/>
      <c r="L24" s="338"/>
      <c r="M24" s="338"/>
      <c r="N24" s="338"/>
      <c r="O24" s="339"/>
    </row>
    <row r="25" spans="2:15" ht="15" x14ac:dyDescent="0.2">
      <c r="B25" s="345" t="s">
        <v>2</v>
      </c>
      <c r="C25" s="347" t="s">
        <v>257</v>
      </c>
      <c r="D25" s="342" t="s">
        <v>246</v>
      </c>
      <c r="E25" s="342" t="s">
        <v>247</v>
      </c>
      <c r="F25" s="342" t="s">
        <v>248</v>
      </c>
      <c r="G25" s="342"/>
      <c r="H25" s="342"/>
      <c r="I25" s="342"/>
      <c r="J25" s="342" t="s">
        <v>249</v>
      </c>
      <c r="K25" s="342"/>
      <c r="L25" s="342"/>
      <c r="M25" s="342"/>
      <c r="N25" s="342" t="s">
        <v>250</v>
      </c>
      <c r="O25" s="344"/>
    </row>
    <row r="26" spans="2:15" ht="60.75" thickBot="1" x14ac:dyDescent="0.25">
      <c r="B26" s="346"/>
      <c r="C26" s="348"/>
      <c r="D26" s="349"/>
      <c r="E26" s="343"/>
      <c r="F26" s="65" t="s">
        <v>251</v>
      </c>
      <c r="G26" s="65" t="s">
        <v>134</v>
      </c>
      <c r="H26" s="65" t="s">
        <v>252</v>
      </c>
      <c r="I26" s="65" t="s">
        <v>253</v>
      </c>
      <c r="J26" s="65" t="s">
        <v>254</v>
      </c>
      <c r="K26" s="65" t="s">
        <v>134</v>
      </c>
      <c r="L26" s="65" t="s">
        <v>255</v>
      </c>
      <c r="M26" s="65" t="s">
        <v>256</v>
      </c>
      <c r="N26" s="65" t="s">
        <v>251</v>
      </c>
      <c r="O26" s="66" t="s">
        <v>253</v>
      </c>
    </row>
    <row r="27" spans="2:15" x14ac:dyDescent="0.2">
      <c r="B27" s="212">
        <v>1</v>
      </c>
      <c r="C27" s="213" t="s">
        <v>464</v>
      </c>
      <c r="D27" s="214">
        <v>1000</v>
      </c>
      <c r="E27" s="133"/>
      <c r="F27" s="135">
        <f t="shared" ref="F27:F38" si="6">I10</f>
        <v>3.5194374000000002</v>
      </c>
      <c r="G27" s="135"/>
      <c r="H27" s="135"/>
      <c r="I27" s="134">
        <f>F27+G27+H27</f>
        <v>3.5194374000000002</v>
      </c>
      <c r="J27" s="135">
        <f t="shared" ref="J27:J38" si="7">M10</f>
        <v>0</v>
      </c>
      <c r="K27" s="135"/>
      <c r="L27" s="135"/>
      <c r="M27" s="134">
        <f>J27+K27+L27</f>
        <v>0</v>
      </c>
      <c r="N27" s="135">
        <f>+F27-J27</f>
        <v>3.5194374000000002</v>
      </c>
      <c r="O27" s="135">
        <f>+I27-M27</f>
        <v>3.5194374000000002</v>
      </c>
    </row>
    <row r="28" spans="2:15" x14ac:dyDescent="0.2">
      <c r="B28" s="212">
        <v>2</v>
      </c>
      <c r="C28" s="213" t="s">
        <v>465</v>
      </c>
      <c r="D28" s="214">
        <v>1100</v>
      </c>
      <c r="E28" s="133"/>
      <c r="F28" s="135">
        <f t="shared" si="6"/>
        <v>92.475650603999995</v>
      </c>
      <c r="G28" s="135"/>
      <c r="H28" s="135"/>
      <c r="I28" s="134">
        <f t="shared" ref="I28:I38" si="8">F28+G28+H28</f>
        <v>92.475650603999995</v>
      </c>
      <c r="J28" s="135">
        <f t="shared" si="7"/>
        <v>83.22808554400001</v>
      </c>
      <c r="K28" s="135"/>
      <c r="L28" s="135"/>
      <c r="M28" s="134">
        <f t="shared" ref="M28:M38" si="9">J28+K28+L28</f>
        <v>83.22808554400001</v>
      </c>
      <c r="N28" s="135">
        <f t="shared" ref="N28:N38" si="10">+F28-J28</f>
        <v>9.2475650599999852</v>
      </c>
      <c r="O28" s="135">
        <f t="shared" ref="O28:O37" si="11">+I28-M28</f>
        <v>9.2475650599999852</v>
      </c>
    </row>
    <row r="29" spans="2:15" x14ac:dyDescent="0.2">
      <c r="B29" s="212">
        <v>3</v>
      </c>
      <c r="C29" s="213" t="s">
        <v>466</v>
      </c>
      <c r="D29" s="214">
        <v>1200</v>
      </c>
      <c r="E29" s="136"/>
      <c r="F29" s="135">
        <f t="shared" si="6"/>
        <v>69.661572928999988</v>
      </c>
      <c r="G29" s="135"/>
      <c r="H29" s="135"/>
      <c r="I29" s="134">
        <f t="shared" si="8"/>
        <v>69.661572928999988</v>
      </c>
      <c r="J29" s="135">
        <f t="shared" si="7"/>
        <v>62.316522887999994</v>
      </c>
      <c r="K29" s="135"/>
      <c r="L29" s="135"/>
      <c r="M29" s="134">
        <f t="shared" si="9"/>
        <v>62.316522887999994</v>
      </c>
      <c r="N29" s="135">
        <f t="shared" si="10"/>
        <v>7.3450500409999933</v>
      </c>
      <c r="O29" s="135">
        <f t="shared" si="11"/>
        <v>7.3450500409999933</v>
      </c>
    </row>
    <row r="30" spans="2:15" x14ac:dyDescent="0.2">
      <c r="B30" s="212">
        <v>4</v>
      </c>
      <c r="C30" s="213" t="s">
        <v>467</v>
      </c>
      <c r="D30" s="214">
        <v>1300</v>
      </c>
      <c r="E30" s="136"/>
      <c r="F30" s="135">
        <f t="shared" si="6"/>
        <v>1743.793812441</v>
      </c>
      <c r="G30" s="135"/>
      <c r="H30" s="135"/>
      <c r="I30" s="134">
        <f t="shared" si="8"/>
        <v>1743.793812441</v>
      </c>
      <c r="J30" s="135">
        <f t="shared" si="7"/>
        <v>1446.038770182</v>
      </c>
      <c r="K30" s="135">
        <v>30.5</v>
      </c>
      <c r="L30" s="135"/>
      <c r="M30" s="134">
        <f>J30+K30+L30</f>
        <v>1476.538770182</v>
      </c>
      <c r="N30" s="135">
        <f t="shared" si="10"/>
        <v>297.75504225899999</v>
      </c>
      <c r="O30" s="135">
        <f t="shared" si="11"/>
        <v>267.25504225899999</v>
      </c>
    </row>
    <row r="31" spans="2:15" x14ac:dyDescent="0.2">
      <c r="B31" s="212">
        <f>B30+1</f>
        <v>5</v>
      </c>
      <c r="C31" s="213" t="s">
        <v>468</v>
      </c>
      <c r="D31" s="214">
        <v>1400</v>
      </c>
      <c r="E31" s="136"/>
      <c r="F31" s="135">
        <f t="shared" si="6"/>
        <v>51.957960874000001</v>
      </c>
      <c r="G31" s="135"/>
      <c r="H31" s="135"/>
      <c r="I31" s="134">
        <f t="shared" si="8"/>
        <v>51.957960874000001</v>
      </c>
      <c r="J31" s="135">
        <f t="shared" si="7"/>
        <v>51.957960874000001</v>
      </c>
      <c r="K31" s="148"/>
      <c r="L31" s="135"/>
      <c r="M31" s="134">
        <f>J31+K31+L31</f>
        <v>51.957960874000001</v>
      </c>
      <c r="N31" s="135">
        <f t="shared" si="10"/>
        <v>0</v>
      </c>
      <c r="O31" s="135">
        <f t="shared" si="11"/>
        <v>0</v>
      </c>
    </row>
    <row r="32" spans="2:15" x14ac:dyDescent="0.2">
      <c r="B32" s="212">
        <f t="shared" ref="B32:B38" si="12">B31+1</f>
        <v>6</v>
      </c>
      <c r="C32" s="213" t="s">
        <v>469</v>
      </c>
      <c r="D32" s="214">
        <v>1500</v>
      </c>
      <c r="E32" s="136"/>
      <c r="F32" s="135">
        <f t="shared" si="6"/>
        <v>195.84311880000001</v>
      </c>
      <c r="G32" s="135"/>
      <c r="H32" s="135"/>
      <c r="I32" s="134">
        <f t="shared" si="8"/>
        <v>195.84311880000001</v>
      </c>
      <c r="J32" s="135">
        <f t="shared" si="7"/>
        <v>176.25880692000001</v>
      </c>
      <c r="K32" s="148"/>
      <c r="L32" s="135"/>
      <c r="M32" s="134">
        <f t="shared" si="9"/>
        <v>176.25880692000001</v>
      </c>
      <c r="N32" s="135">
        <f t="shared" si="10"/>
        <v>19.584311880000001</v>
      </c>
      <c r="O32" s="135">
        <f t="shared" si="11"/>
        <v>19.584311880000001</v>
      </c>
    </row>
    <row r="33" spans="2:15" x14ac:dyDescent="0.2">
      <c r="B33" s="212">
        <f t="shared" si="12"/>
        <v>7</v>
      </c>
      <c r="C33" s="213" t="s">
        <v>470</v>
      </c>
      <c r="D33" s="214">
        <v>1600</v>
      </c>
      <c r="E33" s="136"/>
      <c r="F33" s="135">
        <f t="shared" si="6"/>
        <v>117.549293131</v>
      </c>
      <c r="G33" s="135"/>
      <c r="H33" s="135"/>
      <c r="I33" s="134">
        <f t="shared" si="8"/>
        <v>117.549293131</v>
      </c>
      <c r="J33" s="135">
        <f t="shared" si="7"/>
        <v>105.79436381699999</v>
      </c>
      <c r="K33" s="148"/>
      <c r="L33" s="135"/>
      <c r="M33" s="134">
        <f t="shared" si="9"/>
        <v>105.79436381699999</v>
      </c>
      <c r="N33" s="135">
        <f t="shared" si="10"/>
        <v>11.754929314000009</v>
      </c>
      <c r="O33" s="135">
        <f t="shared" si="11"/>
        <v>11.754929314000009</v>
      </c>
    </row>
    <row r="34" spans="2:15" x14ac:dyDescent="0.2">
      <c r="B34" s="212">
        <f t="shared" si="12"/>
        <v>8</v>
      </c>
      <c r="C34" s="213" t="s">
        <v>471</v>
      </c>
      <c r="D34" s="214">
        <v>1700</v>
      </c>
      <c r="E34" s="136"/>
      <c r="F34" s="135">
        <f t="shared" si="6"/>
        <v>0.99960432799999999</v>
      </c>
      <c r="G34" s="135"/>
      <c r="H34" s="135"/>
      <c r="I34" s="134">
        <f t="shared" si="8"/>
        <v>0.99960432799999999</v>
      </c>
      <c r="J34" s="135">
        <f t="shared" si="7"/>
        <v>0.75068577300000006</v>
      </c>
      <c r="K34" s="148"/>
      <c r="L34" s="135"/>
      <c r="M34" s="134">
        <f t="shared" si="9"/>
        <v>0.75068577300000006</v>
      </c>
      <c r="N34" s="135">
        <f t="shared" si="10"/>
        <v>0.24891855499999993</v>
      </c>
      <c r="O34" s="135">
        <f t="shared" si="11"/>
        <v>0.24891855499999993</v>
      </c>
    </row>
    <row r="35" spans="2:15" x14ac:dyDescent="0.2">
      <c r="B35" s="212">
        <f t="shared" si="12"/>
        <v>9</v>
      </c>
      <c r="C35" s="213" t="s">
        <v>472</v>
      </c>
      <c r="D35" s="214">
        <v>1800</v>
      </c>
      <c r="E35" s="136"/>
      <c r="F35" s="135">
        <f t="shared" si="6"/>
        <v>1.21241504</v>
      </c>
      <c r="G35" s="135"/>
      <c r="H35" s="135"/>
      <c r="I35" s="134">
        <f t="shared" si="8"/>
        <v>1.21241504</v>
      </c>
      <c r="J35" s="135">
        <f t="shared" si="7"/>
        <v>0.88486194399999984</v>
      </c>
      <c r="K35" s="148"/>
      <c r="L35" s="135"/>
      <c r="M35" s="134">
        <f t="shared" si="9"/>
        <v>0.88486194399999984</v>
      </c>
      <c r="N35" s="135">
        <f t="shared" si="10"/>
        <v>0.32755309600000015</v>
      </c>
      <c r="O35" s="135">
        <f t="shared" si="11"/>
        <v>0.32755309600000015</v>
      </c>
    </row>
    <row r="36" spans="2:15" x14ac:dyDescent="0.2">
      <c r="B36" s="212">
        <f t="shared" si="12"/>
        <v>10</v>
      </c>
      <c r="C36" s="213" t="s">
        <v>403</v>
      </c>
      <c r="D36" s="214">
        <v>1900</v>
      </c>
      <c r="E36" s="136"/>
      <c r="F36" s="135">
        <f t="shared" si="6"/>
        <v>3.0749591860000001</v>
      </c>
      <c r="G36" s="135"/>
      <c r="H36" s="135"/>
      <c r="I36" s="134">
        <f t="shared" si="8"/>
        <v>3.0749591860000001</v>
      </c>
      <c r="J36" s="135">
        <f t="shared" si="7"/>
        <v>2.9421179089999998</v>
      </c>
      <c r="K36" s="148"/>
      <c r="L36" s="135"/>
      <c r="M36" s="134">
        <f t="shared" si="9"/>
        <v>2.9421179089999998</v>
      </c>
      <c r="N36" s="135">
        <f t="shared" si="10"/>
        <v>0.13284127700000026</v>
      </c>
      <c r="O36" s="135">
        <f t="shared" si="11"/>
        <v>0.13284127700000026</v>
      </c>
    </row>
    <row r="37" spans="2:15" x14ac:dyDescent="0.2">
      <c r="B37" s="212">
        <f t="shared" si="12"/>
        <v>11</v>
      </c>
      <c r="C37" s="213" t="s">
        <v>473</v>
      </c>
      <c r="D37" s="214">
        <v>2100</v>
      </c>
      <c r="E37" s="136"/>
      <c r="F37" s="135">
        <f t="shared" si="6"/>
        <v>1.479122815</v>
      </c>
      <c r="G37" s="135"/>
      <c r="H37" s="135"/>
      <c r="I37" s="134">
        <f t="shared" si="8"/>
        <v>1.479122815</v>
      </c>
      <c r="J37" s="135">
        <f t="shared" si="7"/>
        <v>1.259619649</v>
      </c>
      <c r="K37" s="148"/>
      <c r="L37" s="135"/>
      <c r="M37" s="134">
        <f t="shared" si="9"/>
        <v>1.259619649</v>
      </c>
      <c r="N37" s="135">
        <f t="shared" si="10"/>
        <v>0.21950316599999997</v>
      </c>
      <c r="O37" s="135">
        <f t="shared" si="11"/>
        <v>0.21950316599999997</v>
      </c>
    </row>
    <row r="38" spans="2:15" x14ac:dyDescent="0.2">
      <c r="B38" s="212">
        <f t="shared" si="12"/>
        <v>12</v>
      </c>
      <c r="C38" s="213" t="s">
        <v>474</v>
      </c>
      <c r="D38" s="214">
        <v>2200</v>
      </c>
      <c r="E38" s="136"/>
      <c r="F38" s="135">
        <f t="shared" si="6"/>
        <v>1.8204499999999998E-2</v>
      </c>
      <c r="G38" s="135"/>
      <c r="H38" s="135"/>
      <c r="I38" s="134">
        <f t="shared" si="8"/>
        <v>1.8204499999999998E-2</v>
      </c>
      <c r="J38" s="135">
        <f t="shared" si="7"/>
        <v>1.8204499999999998E-2</v>
      </c>
      <c r="K38" s="148"/>
      <c r="L38" s="135"/>
      <c r="M38" s="134">
        <f t="shared" si="9"/>
        <v>1.8204499999999998E-2</v>
      </c>
      <c r="N38" s="135">
        <f t="shared" si="10"/>
        <v>0</v>
      </c>
      <c r="O38" s="135">
        <f>+I38-M38</f>
        <v>0</v>
      </c>
    </row>
    <row r="39" spans="2:15" s="49" customFormat="1" ht="15.75" thickBot="1" x14ac:dyDescent="0.25">
      <c r="B39" s="146"/>
      <c r="C39" s="147" t="s">
        <v>135</v>
      </c>
      <c r="D39" s="147"/>
      <c r="E39" s="144">
        <f>IFERROR((K39-L39)/AVERAGE(F39,I39),0)</f>
        <v>1.3367870651606993E-2</v>
      </c>
      <c r="F39" s="143">
        <f>ROUND(SUM(F27:F38),2)</f>
        <v>2281.59</v>
      </c>
      <c r="G39" s="143">
        <f t="shared" ref="G39:O39" si="13">ROUND(SUM(G27:G38),2)</f>
        <v>0</v>
      </c>
      <c r="H39" s="143">
        <f t="shared" si="13"/>
        <v>0</v>
      </c>
      <c r="I39" s="143">
        <f t="shared" si="13"/>
        <v>2281.59</v>
      </c>
      <c r="J39" s="143">
        <f t="shared" si="13"/>
        <v>1931.45</v>
      </c>
      <c r="K39" s="143">
        <f t="shared" si="13"/>
        <v>30.5</v>
      </c>
      <c r="L39" s="143">
        <f t="shared" si="13"/>
        <v>0</v>
      </c>
      <c r="M39" s="143">
        <f t="shared" si="13"/>
        <v>1961.95</v>
      </c>
      <c r="N39" s="143">
        <f t="shared" si="13"/>
        <v>350.14</v>
      </c>
      <c r="O39" s="143">
        <f t="shared" si="13"/>
        <v>319.64</v>
      </c>
    </row>
    <row r="40" spans="2:15" ht="15" thickBot="1" x14ac:dyDescent="0.25">
      <c r="F40" s="179"/>
      <c r="G40" s="179"/>
      <c r="H40" s="179"/>
      <c r="I40" s="179"/>
      <c r="J40" s="179"/>
      <c r="K40" s="178"/>
      <c r="L40" s="179"/>
      <c r="M40" s="179"/>
      <c r="N40" s="179"/>
      <c r="O40" s="179"/>
    </row>
    <row r="41" spans="2:15" ht="15" x14ac:dyDescent="0.2">
      <c r="B41" s="337" t="s">
        <v>462</v>
      </c>
      <c r="C41" s="338"/>
      <c r="D41" s="338"/>
      <c r="E41" s="338"/>
      <c r="F41" s="338"/>
      <c r="G41" s="338"/>
      <c r="H41" s="338"/>
      <c r="I41" s="338"/>
      <c r="J41" s="338"/>
      <c r="K41" s="338"/>
      <c r="L41" s="338"/>
      <c r="M41" s="338"/>
      <c r="N41" s="338"/>
      <c r="O41" s="339"/>
    </row>
    <row r="42" spans="2:15" ht="15" x14ac:dyDescent="0.2">
      <c r="B42" s="340" t="s">
        <v>2</v>
      </c>
      <c r="C42" s="341" t="s">
        <v>257</v>
      </c>
      <c r="D42" s="340" t="s">
        <v>246</v>
      </c>
      <c r="E42" s="342" t="s">
        <v>247</v>
      </c>
      <c r="F42" s="342" t="s">
        <v>248</v>
      </c>
      <c r="G42" s="342"/>
      <c r="H42" s="342"/>
      <c r="I42" s="342"/>
      <c r="J42" s="342" t="s">
        <v>249</v>
      </c>
      <c r="K42" s="342"/>
      <c r="L42" s="342"/>
      <c r="M42" s="342"/>
      <c r="N42" s="342" t="s">
        <v>250</v>
      </c>
      <c r="O42" s="344"/>
    </row>
    <row r="43" spans="2:15" ht="60.75" thickBot="1" x14ac:dyDescent="0.25">
      <c r="B43" s="340"/>
      <c r="C43" s="341"/>
      <c r="D43" s="340"/>
      <c r="E43" s="343"/>
      <c r="F43" s="65" t="s">
        <v>251</v>
      </c>
      <c r="G43" s="65" t="s">
        <v>134</v>
      </c>
      <c r="H43" s="65" t="s">
        <v>252</v>
      </c>
      <c r="I43" s="65" t="s">
        <v>253</v>
      </c>
      <c r="J43" s="65" t="s">
        <v>254</v>
      </c>
      <c r="K43" s="65" t="s">
        <v>134</v>
      </c>
      <c r="L43" s="65" t="s">
        <v>255</v>
      </c>
      <c r="M43" s="65" t="s">
        <v>256</v>
      </c>
      <c r="N43" s="65" t="s">
        <v>251</v>
      </c>
      <c r="O43" s="66" t="s">
        <v>253</v>
      </c>
    </row>
    <row r="44" spans="2:15" x14ac:dyDescent="0.2">
      <c r="B44" s="212">
        <v>1</v>
      </c>
      <c r="C44" s="213" t="s">
        <v>464</v>
      </c>
      <c r="D44" s="214">
        <v>1000</v>
      </c>
      <c r="E44" s="133"/>
      <c r="F44" s="135">
        <f>I27</f>
        <v>3.5194374000000002</v>
      </c>
      <c r="G44" s="135"/>
      <c r="H44" s="135"/>
      <c r="I44" s="134">
        <f>F44+G44+H44</f>
        <v>3.5194374000000002</v>
      </c>
      <c r="J44" s="135">
        <f>M27</f>
        <v>0</v>
      </c>
      <c r="K44" s="135"/>
      <c r="L44" s="135"/>
      <c r="M44" s="134">
        <f>J44+K44+L44</f>
        <v>0</v>
      </c>
      <c r="N44" s="135">
        <f>+F44-J44</f>
        <v>3.5194374000000002</v>
      </c>
      <c r="O44" s="135">
        <f>+I44-M44</f>
        <v>3.5194374000000002</v>
      </c>
    </row>
    <row r="45" spans="2:15" x14ac:dyDescent="0.2">
      <c r="B45" s="212">
        <v>2</v>
      </c>
      <c r="C45" s="213" t="s">
        <v>465</v>
      </c>
      <c r="D45" s="214">
        <v>1100</v>
      </c>
      <c r="E45" s="133"/>
      <c r="F45" s="135">
        <f>I28</f>
        <v>92.475650603999995</v>
      </c>
      <c r="G45" s="135"/>
      <c r="H45" s="135"/>
      <c r="I45" s="134">
        <f t="shared" ref="I45:I55" si="14">F45+G45+H45</f>
        <v>92.475650603999995</v>
      </c>
      <c r="J45" s="135">
        <f t="shared" ref="J45:J55" si="15">M28</f>
        <v>83.22808554400001</v>
      </c>
      <c r="K45" s="135"/>
      <c r="L45" s="135"/>
      <c r="M45" s="134">
        <f t="shared" ref="M45:M55" si="16">J45+K45+L45</f>
        <v>83.22808554400001</v>
      </c>
      <c r="N45" s="135">
        <f t="shared" ref="N45:N55" si="17">+F45-J45</f>
        <v>9.2475650599999852</v>
      </c>
      <c r="O45" s="135">
        <f t="shared" ref="O45:O54" si="18">+I45-M45</f>
        <v>9.2475650599999852</v>
      </c>
    </row>
    <row r="46" spans="2:15" x14ac:dyDescent="0.2">
      <c r="B46" s="212">
        <v>3</v>
      </c>
      <c r="C46" s="213" t="s">
        <v>466</v>
      </c>
      <c r="D46" s="214">
        <v>1200</v>
      </c>
      <c r="E46" s="136"/>
      <c r="F46" s="135">
        <f t="shared" ref="F46:F55" si="19">I29</f>
        <v>69.661572928999988</v>
      </c>
      <c r="G46" s="135"/>
      <c r="H46" s="135"/>
      <c r="I46" s="134">
        <f t="shared" si="14"/>
        <v>69.661572928999988</v>
      </c>
      <c r="J46" s="135">
        <f t="shared" si="15"/>
        <v>62.316522887999994</v>
      </c>
      <c r="K46" s="135"/>
      <c r="L46" s="135"/>
      <c r="M46" s="134">
        <f t="shared" si="16"/>
        <v>62.316522887999994</v>
      </c>
      <c r="N46" s="135">
        <f t="shared" si="17"/>
        <v>7.3450500409999933</v>
      </c>
      <c r="O46" s="135">
        <f t="shared" si="18"/>
        <v>7.3450500409999933</v>
      </c>
    </row>
    <row r="47" spans="2:15" x14ac:dyDescent="0.2">
      <c r="B47" s="212">
        <v>4</v>
      </c>
      <c r="C47" s="213" t="s">
        <v>467</v>
      </c>
      <c r="D47" s="214">
        <v>1300</v>
      </c>
      <c r="E47" s="136"/>
      <c r="F47" s="135">
        <f t="shared" si="19"/>
        <v>1743.793812441</v>
      </c>
      <c r="G47" s="135">
        <v>27.08</v>
      </c>
      <c r="H47" s="135"/>
      <c r="I47" s="134">
        <f t="shared" si="14"/>
        <v>1770.8738124409999</v>
      </c>
      <c r="J47" s="135">
        <f t="shared" si="15"/>
        <v>1476.538770182</v>
      </c>
      <c r="K47" s="135">
        <v>34.56</v>
      </c>
      <c r="L47" s="135"/>
      <c r="M47" s="134">
        <f t="shared" si="16"/>
        <v>1511.098770182</v>
      </c>
      <c r="N47" s="135">
        <f t="shared" si="17"/>
        <v>267.25504225899999</v>
      </c>
      <c r="O47" s="135">
        <f t="shared" si="18"/>
        <v>259.77504225899997</v>
      </c>
    </row>
    <row r="48" spans="2:15" x14ac:dyDescent="0.2">
      <c r="B48" s="212">
        <f>B47+1</f>
        <v>5</v>
      </c>
      <c r="C48" s="213" t="s">
        <v>468</v>
      </c>
      <c r="D48" s="214">
        <v>1400</v>
      </c>
      <c r="E48" s="136"/>
      <c r="F48" s="135">
        <f t="shared" si="19"/>
        <v>51.957960874000001</v>
      </c>
      <c r="G48" s="135"/>
      <c r="H48" s="135"/>
      <c r="I48" s="134">
        <f t="shared" si="14"/>
        <v>51.957960874000001</v>
      </c>
      <c r="J48" s="135">
        <f t="shared" si="15"/>
        <v>51.957960874000001</v>
      </c>
      <c r="K48" s="148"/>
      <c r="L48" s="135"/>
      <c r="M48" s="134">
        <f t="shared" si="16"/>
        <v>51.957960874000001</v>
      </c>
      <c r="N48" s="135">
        <f t="shared" si="17"/>
        <v>0</v>
      </c>
      <c r="O48" s="135">
        <f t="shared" si="18"/>
        <v>0</v>
      </c>
    </row>
    <row r="49" spans="2:15" x14ac:dyDescent="0.2">
      <c r="B49" s="212">
        <f t="shared" ref="B49:B55" si="20">B48+1</f>
        <v>6</v>
      </c>
      <c r="C49" s="213" t="s">
        <v>469</v>
      </c>
      <c r="D49" s="214">
        <v>1500</v>
      </c>
      <c r="E49" s="136"/>
      <c r="F49" s="135">
        <f t="shared" si="19"/>
        <v>195.84311880000001</v>
      </c>
      <c r="G49" s="135"/>
      <c r="H49" s="135"/>
      <c r="I49" s="134">
        <f t="shared" si="14"/>
        <v>195.84311880000001</v>
      </c>
      <c r="J49" s="135">
        <f t="shared" si="15"/>
        <v>176.25880692000001</v>
      </c>
      <c r="K49" s="148"/>
      <c r="L49" s="135"/>
      <c r="M49" s="134">
        <f t="shared" si="16"/>
        <v>176.25880692000001</v>
      </c>
      <c r="N49" s="135">
        <f t="shared" si="17"/>
        <v>19.584311880000001</v>
      </c>
      <c r="O49" s="135">
        <f t="shared" si="18"/>
        <v>19.584311880000001</v>
      </c>
    </row>
    <row r="50" spans="2:15" x14ac:dyDescent="0.2">
      <c r="B50" s="212">
        <f t="shared" si="20"/>
        <v>7</v>
      </c>
      <c r="C50" s="213" t="s">
        <v>470</v>
      </c>
      <c r="D50" s="214">
        <v>1600</v>
      </c>
      <c r="E50" s="136"/>
      <c r="F50" s="135">
        <f t="shared" si="19"/>
        <v>117.549293131</v>
      </c>
      <c r="G50" s="135"/>
      <c r="H50" s="135"/>
      <c r="I50" s="134">
        <f t="shared" si="14"/>
        <v>117.549293131</v>
      </c>
      <c r="J50" s="135">
        <f t="shared" si="15"/>
        <v>105.79436381699999</v>
      </c>
      <c r="K50" s="148"/>
      <c r="L50" s="135"/>
      <c r="M50" s="134">
        <f t="shared" si="16"/>
        <v>105.79436381699999</v>
      </c>
      <c r="N50" s="135">
        <f t="shared" si="17"/>
        <v>11.754929314000009</v>
      </c>
      <c r="O50" s="135">
        <f t="shared" si="18"/>
        <v>11.754929314000009</v>
      </c>
    </row>
    <row r="51" spans="2:15" x14ac:dyDescent="0.2">
      <c r="B51" s="212">
        <f t="shared" si="20"/>
        <v>8</v>
      </c>
      <c r="C51" s="213" t="s">
        <v>471</v>
      </c>
      <c r="D51" s="214">
        <v>1700</v>
      </c>
      <c r="E51" s="136"/>
      <c r="F51" s="135">
        <f t="shared" si="19"/>
        <v>0.99960432799999999</v>
      </c>
      <c r="G51" s="135"/>
      <c r="H51" s="135"/>
      <c r="I51" s="134">
        <f t="shared" si="14"/>
        <v>0.99960432799999999</v>
      </c>
      <c r="J51" s="135">
        <f t="shared" si="15"/>
        <v>0.75068577300000006</v>
      </c>
      <c r="K51" s="148"/>
      <c r="L51" s="135"/>
      <c r="M51" s="134">
        <f t="shared" si="16"/>
        <v>0.75068577300000006</v>
      </c>
      <c r="N51" s="135">
        <f t="shared" si="17"/>
        <v>0.24891855499999993</v>
      </c>
      <c r="O51" s="135">
        <f t="shared" si="18"/>
        <v>0.24891855499999993</v>
      </c>
    </row>
    <row r="52" spans="2:15" x14ac:dyDescent="0.2">
      <c r="B52" s="212">
        <f t="shared" si="20"/>
        <v>9</v>
      </c>
      <c r="C52" s="213" t="s">
        <v>472</v>
      </c>
      <c r="D52" s="214">
        <v>1800</v>
      </c>
      <c r="E52" s="136"/>
      <c r="F52" s="135">
        <f t="shared" si="19"/>
        <v>1.21241504</v>
      </c>
      <c r="G52" s="135"/>
      <c r="H52" s="135"/>
      <c r="I52" s="134">
        <f t="shared" si="14"/>
        <v>1.21241504</v>
      </c>
      <c r="J52" s="135">
        <f t="shared" si="15"/>
        <v>0.88486194399999984</v>
      </c>
      <c r="K52" s="148"/>
      <c r="L52" s="135"/>
      <c r="M52" s="134">
        <f t="shared" si="16"/>
        <v>0.88486194399999984</v>
      </c>
      <c r="N52" s="135">
        <f t="shared" si="17"/>
        <v>0.32755309600000015</v>
      </c>
      <c r="O52" s="135">
        <f t="shared" si="18"/>
        <v>0.32755309600000015</v>
      </c>
    </row>
    <row r="53" spans="2:15" x14ac:dyDescent="0.2">
      <c r="B53" s="212">
        <f t="shared" si="20"/>
        <v>10</v>
      </c>
      <c r="C53" s="213" t="s">
        <v>403</v>
      </c>
      <c r="D53" s="214">
        <v>1900</v>
      </c>
      <c r="E53" s="136"/>
      <c r="F53" s="135">
        <f t="shared" si="19"/>
        <v>3.0749591860000001</v>
      </c>
      <c r="G53" s="135"/>
      <c r="H53" s="135"/>
      <c r="I53" s="134">
        <f t="shared" si="14"/>
        <v>3.0749591860000001</v>
      </c>
      <c r="J53" s="135">
        <f t="shared" si="15"/>
        <v>2.9421179089999998</v>
      </c>
      <c r="K53" s="148"/>
      <c r="L53" s="135"/>
      <c r="M53" s="134">
        <f t="shared" si="16"/>
        <v>2.9421179089999998</v>
      </c>
      <c r="N53" s="135">
        <f t="shared" si="17"/>
        <v>0.13284127700000026</v>
      </c>
      <c r="O53" s="135">
        <f t="shared" si="18"/>
        <v>0.13284127700000026</v>
      </c>
    </row>
    <row r="54" spans="2:15" x14ac:dyDescent="0.2">
      <c r="B54" s="212">
        <f t="shared" si="20"/>
        <v>11</v>
      </c>
      <c r="C54" s="213" t="s">
        <v>473</v>
      </c>
      <c r="D54" s="214">
        <v>2100</v>
      </c>
      <c r="E54" s="136"/>
      <c r="F54" s="135">
        <f t="shared" si="19"/>
        <v>1.479122815</v>
      </c>
      <c r="G54" s="135"/>
      <c r="H54" s="135"/>
      <c r="I54" s="134">
        <f t="shared" si="14"/>
        <v>1.479122815</v>
      </c>
      <c r="J54" s="135">
        <f t="shared" si="15"/>
        <v>1.259619649</v>
      </c>
      <c r="K54" s="148"/>
      <c r="L54" s="135"/>
      <c r="M54" s="134">
        <f t="shared" si="16"/>
        <v>1.259619649</v>
      </c>
      <c r="N54" s="135">
        <f t="shared" si="17"/>
        <v>0.21950316599999997</v>
      </c>
      <c r="O54" s="135">
        <f t="shared" si="18"/>
        <v>0.21950316599999997</v>
      </c>
    </row>
    <row r="55" spans="2:15" x14ac:dyDescent="0.2">
      <c r="B55" s="212">
        <f t="shared" si="20"/>
        <v>12</v>
      </c>
      <c r="C55" s="213" t="s">
        <v>474</v>
      </c>
      <c r="D55" s="214">
        <v>2200</v>
      </c>
      <c r="E55" s="136"/>
      <c r="F55" s="135">
        <f t="shared" si="19"/>
        <v>1.8204499999999998E-2</v>
      </c>
      <c r="G55" s="135"/>
      <c r="H55" s="135"/>
      <c r="I55" s="134">
        <f t="shared" si="14"/>
        <v>1.8204499999999998E-2</v>
      </c>
      <c r="J55" s="135">
        <f t="shared" si="15"/>
        <v>1.8204499999999998E-2</v>
      </c>
      <c r="K55" s="148"/>
      <c r="L55" s="135"/>
      <c r="M55" s="134">
        <f t="shared" si="16"/>
        <v>1.8204499999999998E-2</v>
      </c>
      <c r="N55" s="135">
        <f t="shared" si="17"/>
        <v>0</v>
      </c>
      <c r="O55" s="135">
        <f>+I55-M55</f>
        <v>0</v>
      </c>
    </row>
    <row r="56" spans="2:15" s="49" customFormat="1" ht="15.75" thickBot="1" x14ac:dyDescent="0.25">
      <c r="B56" s="146"/>
      <c r="C56" s="147" t="s">
        <v>135</v>
      </c>
      <c r="D56" s="147"/>
      <c r="E56" s="144">
        <f>IFERROR((K56-L56)/AVERAGE(F56,I56),0)</f>
        <v>1.5057970572473019E-2</v>
      </c>
      <c r="F56" s="143">
        <f>ROUND(SUM(F44:F55),2)</f>
        <v>2281.59</v>
      </c>
      <c r="G56" s="143">
        <f t="shared" ref="G56:O56" si="21">ROUND(SUM(G44:G55),2)</f>
        <v>27.08</v>
      </c>
      <c r="H56" s="143">
        <f t="shared" si="21"/>
        <v>0</v>
      </c>
      <c r="I56" s="143">
        <f t="shared" si="21"/>
        <v>2308.67</v>
      </c>
      <c r="J56" s="143">
        <f t="shared" si="21"/>
        <v>1961.95</v>
      </c>
      <c r="K56" s="143">
        <f t="shared" si="21"/>
        <v>34.56</v>
      </c>
      <c r="L56" s="143">
        <f t="shared" si="21"/>
        <v>0</v>
      </c>
      <c r="M56" s="143">
        <f t="shared" si="21"/>
        <v>1996.51</v>
      </c>
      <c r="N56" s="143">
        <f t="shared" si="21"/>
        <v>319.64</v>
      </c>
      <c r="O56" s="143">
        <f t="shared" si="21"/>
        <v>312.16000000000003</v>
      </c>
    </row>
    <row r="57" spans="2:15" x14ac:dyDescent="0.2">
      <c r="K57" s="145"/>
    </row>
    <row r="58" spans="2:15" x14ac:dyDescent="0.2">
      <c r="K58" s="145"/>
    </row>
  </sheetData>
  <mergeCells count="24">
    <mergeCell ref="J8:M8"/>
    <mergeCell ref="N8:O8"/>
    <mergeCell ref="B7:O7"/>
    <mergeCell ref="B8:B9"/>
    <mergeCell ref="C8:C9"/>
    <mergeCell ref="D8:D9"/>
    <mergeCell ref="E8:E9"/>
    <mergeCell ref="F8:I8"/>
    <mergeCell ref="B24:O24"/>
    <mergeCell ref="B25:B26"/>
    <mergeCell ref="C25:C26"/>
    <mergeCell ref="D25:D26"/>
    <mergeCell ref="E25:E26"/>
    <mergeCell ref="F25:I25"/>
    <mergeCell ref="J25:M25"/>
    <mergeCell ref="N25:O25"/>
    <mergeCell ref="B41:O41"/>
    <mergeCell ref="B42:B43"/>
    <mergeCell ref="C42:C43"/>
    <mergeCell ref="D42:D43"/>
    <mergeCell ref="E42:E43"/>
    <mergeCell ref="F42:I42"/>
    <mergeCell ref="J42:M42"/>
    <mergeCell ref="N42:O42"/>
  </mergeCells>
  <pageMargins left="0.27" right="0.25" top="0.25" bottom="0.25" header="0.25" footer="0.25"/>
  <pageSetup paperSize="9" scale="88" fitToHeight="0" orientation="landscape" r:id="rId1"/>
  <headerFooter alignWithMargins="0"/>
  <rowBreaks count="1" manualBreakCount="1">
    <brk id="2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topLeftCell="A13" zoomScale="89" zoomScaleNormal="89" zoomScaleSheetLayoutView="90" workbookViewId="0">
      <selection activeCell="M17" sqref="M17"/>
    </sheetView>
  </sheetViews>
  <sheetFormatPr defaultColWidth="9.28515625" defaultRowHeight="14.25" x14ac:dyDescent="0.2"/>
  <cols>
    <col min="1" max="1" width="2.7109375" style="5" customWidth="1"/>
    <col min="2" max="2" width="6.28515625" style="5" customWidth="1"/>
    <col min="3" max="3" width="52.140625" style="5" customWidth="1"/>
    <col min="4" max="4" width="12.28515625" style="5" customWidth="1"/>
    <col min="5" max="5" width="10.7109375" style="5" customWidth="1"/>
    <col min="6" max="6" width="13.42578125" style="5" bestFit="1" customWidth="1"/>
    <col min="7" max="7" width="12.140625" style="5" customWidth="1"/>
    <col min="8" max="8" width="10.85546875" style="5" customWidth="1"/>
    <col min="9" max="9" width="12" style="5" customWidth="1"/>
    <col min="10" max="10" width="10.28515625" style="5" customWidth="1"/>
    <col min="11" max="13" width="11.7109375" style="5" bestFit="1" customWidth="1"/>
    <col min="14" max="16384" width="9.28515625" style="5"/>
  </cols>
  <sheetData>
    <row r="1" spans="2:10" ht="15" x14ac:dyDescent="0.2">
      <c r="B1" s="24"/>
    </row>
    <row r="2" spans="2:10" ht="15" x14ac:dyDescent="0.2">
      <c r="E2" s="32" t="s">
        <v>394</v>
      </c>
    </row>
    <row r="3" spans="2:10" ht="15" x14ac:dyDescent="0.2">
      <c r="E3" s="32" t="s">
        <v>397</v>
      </c>
    </row>
    <row r="4" spans="2:10" ht="15" x14ac:dyDescent="0.2">
      <c r="E4" s="35" t="s">
        <v>266</v>
      </c>
    </row>
    <row r="5" spans="2:10" ht="15" x14ac:dyDescent="0.2">
      <c r="B5" s="33" t="s">
        <v>53</v>
      </c>
      <c r="C5" s="24" t="s">
        <v>267</v>
      </c>
      <c r="J5" s="26" t="s">
        <v>4</v>
      </c>
    </row>
    <row r="6" spans="2:10" s="13" customFormat="1" ht="15" customHeight="1" x14ac:dyDescent="0.2">
      <c r="B6" s="319" t="s">
        <v>188</v>
      </c>
      <c r="C6" s="322" t="s">
        <v>14</v>
      </c>
      <c r="D6" s="326" t="s">
        <v>395</v>
      </c>
      <c r="E6" s="327"/>
      <c r="F6" s="328"/>
      <c r="G6" s="324" t="s">
        <v>396</v>
      </c>
      <c r="H6" s="324"/>
      <c r="I6" s="350" t="s">
        <v>462</v>
      </c>
      <c r="J6" s="351"/>
    </row>
    <row r="7" spans="2:10" s="13" customFormat="1" ht="45" x14ac:dyDescent="0.2">
      <c r="B7" s="320"/>
      <c r="C7" s="322"/>
      <c r="D7" s="15" t="s">
        <v>362</v>
      </c>
      <c r="E7" s="15" t="s">
        <v>232</v>
      </c>
      <c r="F7" s="15" t="s">
        <v>201</v>
      </c>
      <c r="G7" s="15" t="s">
        <v>362</v>
      </c>
      <c r="H7" s="15" t="s">
        <v>231</v>
      </c>
      <c r="I7" s="15" t="s">
        <v>362</v>
      </c>
      <c r="J7" s="15" t="s">
        <v>231</v>
      </c>
    </row>
    <row r="8" spans="2:10" s="13" customFormat="1" ht="30" x14ac:dyDescent="0.2">
      <c r="B8" s="321"/>
      <c r="C8" s="323"/>
      <c r="D8" s="15" t="s">
        <v>10</v>
      </c>
      <c r="E8" s="15" t="s">
        <v>12</v>
      </c>
      <c r="F8" s="15" t="s">
        <v>223</v>
      </c>
      <c r="G8" s="15" t="s">
        <v>10</v>
      </c>
      <c r="H8" s="15" t="s">
        <v>458</v>
      </c>
      <c r="I8" s="15" t="s">
        <v>10</v>
      </c>
      <c r="J8" s="15" t="s">
        <v>458</v>
      </c>
    </row>
    <row r="9" spans="2:10" x14ac:dyDescent="0.2">
      <c r="B9" s="62">
        <v>1</v>
      </c>
      <c r="C9" s="27" t="s">
        <v>171</v>
      </c>
      <c r="D9" s="112"/>
      <c r="E9" s="110">
        <f>'F4'!F22*70%</f>
        <v>1589.0279999999998</v>
      </c>
      <c r="F9" s="110">
        <f>E9</f>
        <v>1589.0279999999998</v>
      </c>
      <c r="G9" s="114"/>
      <c r="H9" s="115">
        <f>E9+E13</f>
        <v>1597.6904999999997</v>
      </c>
      <c r="I9" s="114"/>
      <c r="J9" s="115">
        <f>H9+H13</f>
        <v>1597.6904999999997</v>
      </c>
    </row>
    <row r="10" spans="2:10" x14ac:dyDescent="0.2">
      <c r="B10" s="20">
        <f>B9+1</f>
        <v>2</v>
      </c>
      <c r="C10" s="27" t="s">
        <v>172</v>
      </c>
      <c r="D10" s="112"/>
      <c r="E10" s="110">
        <f>'F4'!J22</f>
        <v>1902.26</v>
      </c>
      <c r="F10" s="110">
        <f>E10</f>
        <v>1902.26</v>
      </c>
      <c r="G10" s="115"/>
      <c r="H10" s="115">
        <f>'F4'!J22</f>
        <v>1902.26</v>
      </c>
      <c r="I10" s="114"/>
      <c r="J10" s="115">
        <f>'F4'!J39</f>
        <v>1931.45</v>
      </c>
    </row>
    <row r="11" spans="2:10" ht="15" x14ac:dyDescent="0.2">
      <c r="B11" s="20">
        <f t="shared" ref="B11:B21" si="0">B10+1</f>
        <v>3</v>
      </c>
      <c r="C11" s="29" t="s">
        <v>173</v>
      </c>
      <c r="D11" s="117">
        <f>D9-D10</f>
        <v>0</v>
      </c>
      <c r="E11" s="117">
        <f>IF((E9-E10)&lt;0,0,(E9-E10))</f>
        <v>0</v>
      </c>
      <c r="F11" s="117">
        <f>IF((F9-F10)&lt;0,0,(F9-F10))</f>
        <v>0</v>
      </c>
      <c r="G11" s="117">
        <f>IF((G9-G10)&lt;0,0,(G9-G10))</f>
        <v>0</v>
      </c>
      <c r="H11" s="117">
        <f>IF((H9-H10)&lt;0,0,(H9-H10))</f>
        <v>0</v>
      </c>
      <c r="I11" s="117"/>
      <c r="J11" s="117">
        <f>IF((J9-J10)&lt;0,0,(J9-J10))</f>
        <v>0</v>
      </c>
    </row>
    <row r="12" spans="2:10" ht="28.5" x14ac:dyDescent="0.2">
      <c r="B12" s="20">
        <f t="shared" si="0"/>
        <v>4</v>
      </c>
      <c r="C12" s="69" t="s">
        <v>174</v>
      </c>
      <c r="D12" s="125"/>
      <c r="E12" s="125"/>
      <c r="F12" s="125"/>
      <c r="G12" s="125"/>
      <c r="H12" s="125"/>
      <c r="I12" s="125"/>
      <c r="J12" s="125"/>
    </row>
    <row r="13" spans="2:10" s="32" customFormat="1" ht="28.5" x14ac:dyDescent="0.2">
      <c r="B13" s="20">
        <f t="shared" si="0"/>
        <v>5</v>
      </c>
      <c r="C13" s="37" t="s">
        <v>391</v>
      </c>
      <c r="D13" s="125"/>
      <c r="E13" s="110">
        <f>'F3'!E12*75%</f>
        <v>8.6625000000000014</v>
      </c>
      <c r="F13" s="110">
        <f>'F3'!F12*75%</f>
        <v>8.6625000000000014</v>
      </c>
      <c r="G13" s="110">
        <f>'F3'!G12*75%</f>
        <v>0</v>
      </c>
      <c r="H13" s="110">
        <f>'F3'!H12*75%</f>
        <v>0</v>
      </c>
      <c r="I13" s="110">
        <f>'F3'!I12*75%</f>
        <v>0</v>
      </c>
      <c r="J13" s="110">
        <f>'F3'!J12*75%</f>
        <v>20.309999999999999</v>
      </c>
    </row>
    <row r="14" spans="2:10" x14ac:dyDescent="0.2">
      <c r="B14" s="20">
        <f t="shared" si="0"/>
        <v>6</v>
      </c>
      <c r="C14" s="69" t="s">
        <v>179</v>
      </c>
      <c r="D14" s="262"/>
      <c r="E14" s="262">
        <f>'F1'!G10</f>
        <v>29.19</v>
      </c>
      <c r="F14" s="262">
        <f>'F1'!H10</f>
        <v>29.19</v>
      </c>
      <c r="G14" s="262">
        <f>'F1'!I10</f>
        <v>1.44</v>
      </c>
      <c r="H14" s="262">
        <f>'F1'!J10</f>
        <v>30.5</v>
      </c>
      <c r="I14" s="262">
        <f>'F1'!K10</f>
        <v>1.44</v>
      </c>
      <c r="J14" s="262">
        <f>'F1'!L10</f>
        <v>34.56</v>
      </c>
    </row>
    <row r="15" spans="2:10" ht="15" x14ac:dyDescent="0.2">
      <c r="B15" s="20">
        <f t="shared" si="0"/>
        <v>7</v>
      </c>
      <c r="C15" s="27" t="s">
        <v>175</v>
      </c>
      <c r="D15" s="117"/>
      <c r="E15" s="117">
        <f>IF((E11-E12+E13-E14)&lt;0,0,(E11-E12+E13-E14))</f>
        <v>0</v>
      </c>
      <c r="F15" s="117">
        <f>IF((F11-F12+F13-F14)&lt;0,0,(F11-F12+F13-F14))</f>
        <v>0</v>
      </c>
      <c r="G15" s="117"/>
      <c r="H15" s="117">
        <f>IF((H11-H12+H13-H14)&lt;0,0,(H11-H12+H13-H14))</f>
        <v>0</v>
      </c>
      <c r="I15" s="117"/>
      <c r="J15" s="117">
        <f>IF((J11-J12+J13-J14)&lt;0,0,(J11-J12+J13-J14))</f>
        <v>0</v>
      </c>
    </row>
    <row r="16" spans="2:10" ht="15" x14ac:dyDescent="0.2">
      <c r="B16" s="20">
        <f t="shared" si="0"/>
        <v>8</v>
      </c>
      <c r="C16" s="27" t="s">
        <v>176</v>
      </c>
      <c r="D16" s="117"/>
      <c r="E16" s="117">
        <f t="shared" ref="E16:J16" si="1">E9-E12+E13-E14</f>
        <v>1568.5004999999996</v>
      </c>
      <c r="F16" s="117">
        <f t="shared" si="1"/>
        <v>1568.5004999999996</v>
      </c>
      <c r="G16" s="117"/>
      <c r="H16" s="117">
        <f t="shared" si="1"/>
        <v>1567.1904999999997</v>
      </c>
      <c r="I16" s="117"/>
      <c r="J16" s="117">
        <f t="shared" si="1"/>
        <v>1583.4404999999997</v>
      </c>
    </row>
    <row r="17" spans="2:10" ht="15" x14ac:dyDescent="0.2">
      <c r="B17" s="20">
        <f t="shared" si="0"/>
        <v>9</v>
      </c>
      <c r="C17" s="27" t="s">
        <v>207</v>
      </c>
      <c r="D17" s="117"/>
      <c r="E17" s="117">
        <f t="shared" ref="E17:J17" si="2">AVERAGE(E11,E15)</f>
        <v>0</v>
      </c>
      <c r="F17" s="117">
        <f t="shared" si="2"/>
        <v>0</v>
      </c>
      <c r="G17" s="117"/>
      <c r="H17" s="117">
        <f t="shared" si="2"/>
        <v>0</v>
      </c>
      <c r="I17" s="117"/>
      <c r="J17" s="117">
        <f t="shared" si="2"/>
        <v>0</v>
      </c>
    </row>
    <row r="18" spans="2:10" ht="28.5" x14ac:dyDescent="0.2">
      <c r="B18" s="20">
        <f t="shared" si="0"/>
        <v>10</v>
      </c>
      <c r="C18" s="69" t="s">
        <v>206</v>
      </c>
      <c r="D18" s="263"/>
      <c r="E18" s="263">
        <v>9.5500000000000002E-2</v>
      </c>
      <c r="F18" s="263">
        <f>E18</f>
        <v>9.5500000000000002E-2</v>
      </c>
      <c r="G18" s="263"/>
      <c r="H18" s="263">
        <v>9.5500000000000002E-2</v>
      </c>
      <c r="I18" s="263"/>
      <c r="J18" s="263">
        <v>9.5500000000000002E-2</v>
      </c>
    </row>
    <row r="19" spans="2:10" ht="15" x14ac:dyDescent="0.2">
      <c r="B19" s="20">
        <f t="shared" si="0"/>
        <v>11</v>
      </c>
      <c r="C19" s="27" t="s">
        <v>268</v>
      </c>
      <c r="D19" s="117">
        <f>D17*D18</f>
        <v>0</v>
      </c>
      <c r="E19" s="117">
        <f>E17*E18</f>
        <v>0</v>
      </c>
      <c r="F19" s="117">
        <f>F17*F18</f>
        <v>0</v>
      </c>
      <c r="G19" s="117">
        <f>G17*G18</f>
        <v>0</v>
      </c>
      <c r="H19" s="117">
        <f>H17*H18</f>
        <v>0</v>
      </c>
      <c r="I19" s="117"/>
      <c r="J19" s="117">
        <f>J17*J18</f>
        <v>0</v>
      </c>
    </row>
    <row r="20" spans="2:10" x14ac:dyDescent="0.2">
      <c r="B20" s="20">
        <f t="shared" si="0"/>
        <v>12</v>
      </c>
      <c r="C20" s="27" t="s">
        <v>269</v>
      </c>
      <c r="D20" s="116"/>
      <c r="E20" s="116"/>
      <c r="F20" s="116"/>
      <c r="G20" s="116"/>
      <c r="H20" s="116"/>
      <c r="I20" s="116"/>
      <c r="J20" s="116"/>
    </row>
    <row r="21" spans="2:10" ht="15" x14ac:dyDescent="0.2">
      <c r="B21" s="20">
        <f t="shared" si="0"/>
        <v>13</v>
      </c>
      <c r="C21" s="27" t="s">
        <v>270</v>
      </c>
      <c r="D21" s="117">
        <v>0.23</v>
      </c>
      <c r="E21" s="117">
        <f>IF((E19+E20)&lt;0,0,(E19+E20))</f>
        <v>0</v>
      </c>
      <c r="F21" s="117">
        <f>IF((F19+F20)&lt;0,0,(F19+F20))</f>
        <v>0</v>
      </c>
      <c r="G21" s="117">
        <v>0.38</v>
      </c>
      <c r="H21" s="117">
        <f>IF((H19+H20)&lt;0,0,(H19+H20))</f>
        <v>0</v>
      </c>
      <c r="I21" s="117">
        <v>0.24</v>
      </c>
      <c r="J21" s="117">
        <f>IF((J19+J20)&lt;0,0,(J19+J20))</f>
        <v>0</v>
      </c>
    </row>
    <row r="22" spans="2:10" x14ac:dyDescent="0.2">
      <c r="B22" s="34"/>
      <c r="C22" s="5" t="s">
        <v>234</v>
      </c>
    </row>
    <row r="23" spans="2:10" x14ac:dyDescent="0.2">
      <c r="C23" s="5" t="s">
        <v>392</v>
      </c>
    </row>
  </sheetData>
  <mergeCells count="5">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3"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showGridLines="0" topLeftCell="A12" zoomScale="95" zoomScaleNormal="95" zoomScaleSheetLayoutView="90" workbookViewId="0">
      <selection activeCell="H23" sqref="H23"/>
    </sheetView>
  </sheetViews>
  <sheetFormatPr defaultColWidth="9.28515625" defaultRowHeight="14.25" x14ac:dyDescent="0.2"/>
  <cols>
    <col min="1" max="1" width="3.140625" style="5" customWidth="1"/>
    <col min="2" max="2" width="6.28515625" style="5" customWidth="1"/>
    <col min="3" max="3" width="37.5703125" style="5" customWidth="1"/>
    <col min="4" max="4" width="11.5703125" style="5" customWidth="1"/>
    <col min="5" max="5" width="10.7109375" style="5" customWidth="1"/>
    <col min="6" max="6" width="14" style="5" customWidth="1"/>
    <col min="7" max="7" width="11.7109375" style="5" customWidth="1"/>
    <col min="8" max="8" width="11.42578125" style="5" customWidth="1"/>
    <col min="9" max="9" width="11.5703125" style="5" customWidth="1"/>
    <col min="10" max="10" width="10" style="5" customWidth="1"/>
    <col min="11" max="13" width="11.7109375" style="5" bestFit="1" customWidth="1"/>
    <col min="14" max="16384" width="9.28515625" style="5"/>
  </cols>
  <sheetData>
    <row r="1" spans="2:10" ht="15" x14ac:dyDescent="0.2">
      <c r="B1" s="24"/>
    </row>
    <row r="2" spans="2:10" ht="15" x14ac:dyDescent="0.2">
      <c r="E2" s="32" t="s">
        <v>394</v>
      </c>
    </row>
    <row r="3" spans="2:10" ht="15" x14ac:dyDescent="0.2">
      <c r="E3" s="32" t="s">
        <v>397</v>
      </c>
    </row>
    <row r="4" spans="2:10" ht="15" x14ac:dyDescent="0.2">
      <c r="E4" s="35" t="s">
        <v>271</v>
      </c>
    </row>
    <row r="5" spans="2:10" ht="15" x14ac:dyDescent="0.2">
      <c r="J5" s="26" t="s">
        <v>4</v>
      </c>
    </row>
    <row r="6" spans="2:10" s="13" customFormat="1" ht="15" customHeight="1" x14ac:dyDescent="0.2">
      <c r="B6" s="319" t="s">
        <v>188</v>
      </c>
      <c r="C6" s="322" t="s">
        <v>14</v>
      </c>
      <c r="D6" s="326" t="s">
        <v>395</v>
      </c>
      <c r="E6" s="327"/>
      <c r="F6" s="328"/>
      <c r="G6" s="326" t="s">
        <v>396</v>
      </c>
      <c r="H6" s="328"/>
      <c r="I6" s="326" t="s">
        <v>462</v>
      </c>
      <c r="J6" s="328"/>
    </row>
    <row r="7" spans="2:10" s="13" customFormat="1" ht="30" x14ac:dyDescent="0.2">
      <c r="B7" s="320"/>
      <c r="C7" s="322"/>
      <c r="D7" s="15" t="s">
        <v>362</v>
      </c>
      <c r="E7" s="15" t="s">
        <v>232</v>
      </c>
      <c r="F7" s="15" t="s">
        <v>201</v>
      </c>
      <c r="G7" s="15" t="s">
        <v>362</v>
      </c>
      <c r="H7" s="15" t="s">
        <v>231</v>
      </c>
      <c r="I7" s="15" t="s">
        <v>362</v>
      </c>
      <c r="J7" s="15" t="s">
        <v>221</v>
      </c>
    </row>
    <row r="8" spans="2:10" s="13" customFormat="1" ht="45" x14ac:dyDescent="0.2">
      <c r="B8" s="321"/>
      <c r="C8" s="323"/>
      <c r="D8" s="15" t="s">
        <v>10</v>
      </c>
      <c r="E8" s="15" t="s">
        <v>12</v>
      </c>
      <c r="F8" s="15" t="s">
        <v>223</v>
      </c>
      <c r="G8" s="15" t="s">
        <v>10</v>
      </c>
      <c r="H8" s="15" t="s">
        <v>458</v>
      </c>
      <c r="I8" s="15" t="s">
        <v>10</v>
      </c>
      <c r="J8" s="15" t="s">
        <v>458</v>
      </c>
    </row>
    <row r="9" spans="2:10" x14ac:dyDescent="0.2">
      <c r="B9" s="62">
        <v>1</v>
      </c>
      <c r="C9" s="27" t="s">
        <v>272</v>
      </c>
      <c r="D9" s="112"/>
      <c r="E9" s="110">
        <f>500*24*20*85%*(1-0.093)*'F12'!F17/10000</f>
        <v>74.511256930896351</v>
      </c>
      <c r="F9" s="110">
        <f t="shared" ref="F9:F14" si="0">E9</f>
        <v>74.511256930896351</v>
      </c>
      <c r="G9" s="115"/>
      <c r="H9" s="115">
        <f>500*24*20*85%*(1-0.093)*'F12'!I17/10000</f>
        <v>74.806820400000007</v>
      </c>
      <c r="I9" s="115"/>
      <c r="J9" s="115">
        <f>500*24*20*85%*(1-0.093)*'F12'!K17/10000</f>
        <v>68.497365599999995</v>
      </c>
    </row>
    <row r="10" spans="2:10" x14ac:dyDescent="0.2">
      <c r="B10" s="20">
        <f>B9+1</f>
        <v>2</v>
      </c>
      <c r="C10" s="27" t="s">
        <v>273</v>
      </c>
      <c r="D10" s="112"/>
      <c r="E10" s="110">
        <f>500*24*30*85%*(1-0.093)*'F12'!G17/10000</f>
        <v>111.76688539634453</v>
      </c>
      <c r="F10" s="110">
        <f t="shared" si="0"/>
        <v>111.76688539634453</v>
      </c>
      <c r="G10" s="115"/>
      <c r="H10" s="115">
        <f>500*24*30*85%*(1-0.093)*'F12'!I17/10000</f>
        <v>112.21023060000002</v>
      </c>
      <c r="I10" s="115"/>
      <c r="J10" s="115">
        <f>500*24*30*85%*(1-0.093)*'F12'!K17/10000</f>
        <v>102.74604839999999</v>
      </c>
    </row>
    <row r="11" spans="2:10" x14ac:dyDescent="0.2">
      <c r="B11" s="20">
        <f t="shared" ref="B11:B19" si="1">B10+1</f>
        <v>3</v>
      </c>
      <c r="C11" s="29" t="s">
        <v>274</v>
      </c>
      <c r="D11" s="112"/>
      <c r="E11" s="110">
        <f>500*24*85%*(1-0.093)*'F12'!G18*30/10000</f>
        <v>1.2040801622870068</v>
      </c>
      <c r="F11" s="110">
        <f t="shared" si="0"/>
        <v>1.2040801622870068</v>
      </c>
      <c r="G11" s="115"/>
      <c r="H11" s="115">
        <f>500*24*85%*(1-0.093)*'F12'!I18*30/10000</f>
        <v>0.9436428</v>
      </c>
      <c r="I11" s="115"/>
      <c r="J11" s="115">
        <f>500*24*85%*(1-0.093)*'F12'!K18*30/10000</f>
        <v>0.97139700000000007</v>
      </c>
    </row>
    <row r="12" spans="2:10" x14ac:dyDescent="0.2">
      <c r="B12" s="20">
        <f t="shared" si="1"/>
        <v>4</v>
      </c>
      <c r="C12" s="69" t="s">
        <v>275</v>
      </c>
      <c r="D12" s="125"/>
      <c r="E12" s="125">
        <f>'F2'!F13/12</f>
        <v>23.804166666666664</v>
      </c>
      <c r="F12" s="125">
        <f t="shared" si="0"/>
        <v>23.804166666666664</v>
      </c>
      <c r="G12" s="125"/>
      <c r="H12" s="125">
        <f>'F2'!I13/12</f>
        <v>24.998333333333335</v>
      </c>
      <c r="I12" s="125"/>
      <c r="J12" s="125">
        <f>'F2'!K13/12</f>
        <v>26.080833333333334</v>
      </c>
    </row>
    <row r="13" spans="2:10" s="32" customFormat="1" ht="15" x14ac:dyDescent="0.2">
      <c r="B13" s="20">
        <f t="shared" si="1"/>
        <v>5</v>
      </c>
      <c r="C13" s="37" t="s">
        <v>276</v>
      </c>
      <c r="D13" s="116"/>
      <c r="E13" s="110">
        <f>'F4'!F22*1%</f>
        <v>22.700399999999998</v>
      </c>
      <c r="F13" s="110">
        <f t="shared" si="0"/>
        <v>22.700399999999998</v>
      </c>
      <c r="G13" s="110"/>
      <c r="H13" s="110">
        <f>'F4'!F39*1%</f>
        <v>22.815900000000003</v>
      </c>
      <c r="I13" s="110"/>
      <c r="J13" s="110">
        <f>'F4'!F39*1%</f>
        <v>22.815900000000003</v>
      </c>
    </row>
    <row r="14" spans="2:10" x14ac:dyDescent="0.2">
      <c r="B14" s="20">
        <f t="shared" si="1"/>
        <v>6</v>
      </c>
      <c r="C14" s="69" t="s">
        <v>389</v>
      </c>
      <c r="D14" s="125"/>
      <c r="E14" s="125">
        <f ca="1">(E10*45/30+E11*45/30+'F1'!G15*45/365)</f>
        <v>229.16466751602948</v>
      </c>
      <c r="F14" s="125">
        <f t="shared" ca="1" si="0"/>
        <v>229.16466751602948</v>
      </c>
      <c r="G14" s="125"/>
      <c r="H14" s="125">
        <f ca="1">(H10*45/30+H11*45/30+'F1'!J15*45/365)</f>
        <v>231.29450873013701</v>
      </c>
      <c r="I14" s="125"/>
      <c r="J14" s="125">
        <f ca="1">(J10*45/30+J11*45/30+'F1'!L15*45/365)</f>
        <v>219.06192152465752</v>
      </c>
    </row>
    <row r="15" spans="2:10" x14ac:dyDescent="0.2">
      <c r="B15" s="20"/>
      <c r="C15" s="69" t="s">
        <v>277</v>
      </c>
      <c r="D15" s="116"/>
      <c r="E15" s="40"/>
      <c r="F15" s="112"/>
      <c r="G15" s="40"/>
      <c r="H15" s="40"/>
      <c r="I15" s="40"/>
      <c r="J15" s="40"/>
    </row>
    <row r="16" spans="2:10" x14ac:dyDescent="0.2">
      <c r="B16" s="20">
        <f>B14+1</f>
        <v>7</v>
      </c>
      <c r="C16" s="27" t="s">
        <v>390</v>
      </c>
      <c r="D16" s="125"/>
      <c r="E16" s="125">
        <f>E10+E11</f>
        <v>112.97096555863155</v>
      </c>
      <c r="F16" s="125">
        <f>F10+F11</f>
        <v>112.97096555863155</v>
      </c>
      <c r="G16" s="125">
        <f>'F10'!H23*'F12'!H19*30/366/10</f>
        <v>0</v>
      </c>
      <c r="H16" s="125">
        <f>H10+H11</f>
        <v>113.15387340000002</v>
      </c>
      <c r="I16" s="125"/>
      <c r="J16" s="125">
        <f>J10+J11</f>
        <v>103.71744539999999</v>
      </c>
    </row>
    <row r="17" spans="2:10" ht="15" x14ac:dyDescent="0.2">
      <c r="B17" s="23">
        <f t="shared" si="1"/>
        <v>8</v>
      </c>
      <c r="C17" s="39" t="s">
        <v>51</v>
      </c>
      <c r="D17" s="117">
        <f>SUM(D9:D14)-D16</f>
        <v>0</v>
      </c>
      <c r="E17" s="117">
        <f t="shared" ref="E17:J17" ca="1" si="2">SUM(E9:E14)-E16</f>
        <v>350.18049111359255</v>
      </c>
      <c r="F17" s="117">
        <f t="shared" ca="1" si="2"/>
        <v>350.18049111359255</v>
      </c>
      <c r="G17" s="117">
        <f t="shared" si="2"/>
        <v>0</v>
      </c>
      <c r="H17" s="117">
        <f t="shared" ca="1" si="2"/>
        <v>353.91556246347039</v>
      </c>
      <c r="I17" s="117">
        <f t="shared" si="2"/>
        <v>0</v>
      </c>
      <c r="J17" s="117">
        <f t="shared" ca="1" si="2"/>
        <v>336.45602045799086</v>
      </c>
    </row>
    <row r="18" spans="2:10" x14ac:dyDescent="0.2">
      <c r="B18" s="20">
        <f t="shared" si="1"/>
        <v>9</v>
      </c>
      <c r="C18" s="27" t="s">
        <v>278</v>
      </c>
      <c r="D18" s="263"/>
      <c r="E18" s="263">
        <v>0.1041</v>
      </c>
      <c r="F18" s="263">
        <f>E18</f>
        <v>0.1041</v>
      </c>
      <c r="G18" s="263"/>
      <c r="H18" s="263">
        <v>0.10249999999999999</v>
      </c>
      <c r="I18" s="263"/>
      <c r="J18" s="263">
        <v>0.10249999999999999</v>
      </c>
    </row>
    <row r="19" spans="2:10" ht="15" x14ac:dyDescent="0.2">
      <c r="B19" s="23">
        <f t="shared" si="1"/>
        <v>10</v>
      </c>
      <c r="C19" s="70" t="s">
        <v>279</v>
      </c>
      <c r="D19" s="117">
        <v>33.74</v>
      </c>
      <c r="E19" s="117">
        <f ca="1">ROUND(E17*E18,2)</f>
        <v>36.450000000000003</v>
      </c>
      <c r="F19" s="117">
        <f ca="1">ROUND(F17*F18,2)</f>
        <v>36.450000000000003</v>
      </c>
      <c r="G19" s="117">
        <v>34.46</v>
      </c>
      <c r="H19" s="117">
        <f ca="1">ROUND(H17*H18,2)</f>
        <v>36.28</v>
      </c>
      <c r="I19" s="117">
        <v>34.71</v>
      </c>
      <c r="J19" s="117">
        <f ca="1">ROUND(J17*J18,2)</f>
        <v>34.49</v>
      </c>
    </row>
    <row r="20" spans="2:10" x14ac:dyDescent="0.2">
      <c r="D20" s="137"/>
    </row>
    <row r="23" spans="2:10" ht="15" x14ac:dyDescent="0.2">
      <c r="C23" s="329" t="s">
        <v>476</v>
      </c>
      <c r="D23" s="329"/>
      <c r="E23" s="329"/>
      <c r="F23" s="329"/>
      <c r="G23" s="329"/>
    </row>
    <row r="25" spans="2:10" ht="15" x14ac:dyDescent="0.2">
      <c r="C25" s="352" t="s">
        <v>477</v>
      </c>
      <c r="D25" s="352" t="s">
        <v>395</v>
      </c>
      <c r="E25" s="352"/>
      <c r="F25" s="353"/>
      <c r="G25" s="353"/>
    </row>
    <row r="26" spans="2:10" ht="15" x14ac:dyDescent="0.2">
      <c r="C26" s="352"/>
      <c r="D26" s="172" t="s">
        <v>478</v>
      </c>
      <c r="E26" s="172" t="s">
        <v>479</v>
      </c>
      <c r="F26" s="237"/>
      <c r="G26" s="237"/>
    </row>
    <row r="27" spans="2:10" x14ac:dyDescent="0.2">
      <c r="C27" s="173" t="s">
        <v>480</v>
      </c>
      <c r="D27" s="173">
        <v>15</v>
      </c>
      <c r="E27" s="175">
        <v>8.6499999999999994E-2</v>
      </c>
      <c r="F27" s="238"/>
      <c r="G27" s="238"/>
    </row>
    <row r="28" spans="2:10" x14ac:dyDescent="0.2">
      <c r="C28" s="173" t="s">
        <v>481</v>
      </c>
      <c r="D28" s="173">
        <v>30</v>
      </c>
      <c r="E28" s="175">
        <v>8.6499999999999994E-2</v>
      </c>
      <c r="F28" s="238"/>
      <c r="G28" s="238"/>
    </row>
    <row r="29" spans="2:10" x14ac:dyDescent="0.2">
      <c r="C29" s="173" t="s">
        <v>482</v>
      </c>
      <c r="D29" s="173">
        <v>31</v>
      </c>
      <c r="E29" s="175">
        <v>8.7499999999999994E-2</v>
      </c>
      <c r="F29" s="238"/>
      <c r="G29" s="238"/>
    </row>
    <row r="30" spans="2:10" x14ac:dyDescent="0.2">
      <c r="C30" s="173" t="s">
        <v>483</v>
      </c>
      <c r="D30" s="173">
        <v>30</v>
      </c>
      <c r="E30" s="175">
        <v>8.8499999999999995E-2</v>
      </c>
      <c r="F30" s="238"/>
      <c r="G30" s="238"/>
    </row>
    <row r="31" spans="2:10" x14ac:dyDescent="0.2">
      <c r="C31" s="173" t="s">
        <v>484</v>
      </c>
      <c r="D31" s="173">
        <v>31</v>
      </c>
      <c r="E31" s="175">
        <v>8.9499999999999996E-2</v>
      </c>
      <c r="F31" s="238"/>
      <c r="G31" s="238"/>
    </row>
    <row r="32" spans="2:10" x14ac:dyDescent="0.2">
      <c r="C32" s="173" t="s">
        <v>485</v>
      </c>
      <c r="D32" s="173">
        <v>31</v>
      </c>
      <c r="E32" s="175">
        <v>8.9499999999999996E-2</v>
      </c>
      <c r="F32" s="238"/>
      <c r="G32" s="238"/>
    </row>
    <row r="33" spans="3:9" x14ac:dyDescent="0.2">
      <c r="C33" s="173" t="s">
        <v>486</v>
      </c>
      <c r="D33" s="173">
        <v>30</v>
      </c>
      <c r="E33" s="175">
        <v>8.9499999999999996E-2</v>
      </c>
      <c r="F33" s="238"/>
      <c r="G33" s="238"/>
    </row>
    <row r="34" spans="3:9" x14ac:dyDescent="0.2">
      <c r="C34" s="173" t="s">
        <v>487</v>
      </c>
      <c r="D34" s="173">
        <v>31</v>
      </c>
      <c r="E34" s="177">
        <v>0.09</v>
      </c>
      <c r="F34" s="238"/>
      <c r="G34" s="238"/>
      <c r="I34" s="235"/>
    </row>
    <row r="35" spans="3:9" x14ac:dyDescent="0.2">
      <c r="C35" s="173" t="s">
        <v>488</v>
      </c>
      <c r="D35" s="173">
        <v>30</v>
      </c>
      <c r="E35" s="177">
        <v>0.09</v>
      </c>
      <c r="F35" s="238"/>
      <c r="G35" s="238"/>
      <c r="I35" s="236"/>
    </row>
    <row r="36" spans="3:9" x14ac:dyDescent="0.2">
      <c r="C36" s="173" t="s">
        <v>489</v>
      </c>
      <c r="D36" s="173">
        <v>31</v>
      </c>
      <c r="E36" s="177">
        <v>0.09</v>
      </c>
      <c r="F36" s="238"/>
      <c r="G36" s="238"/>
    </row>
    <row r="37" spans="3:9" x14ac:dyDescent="0.2">
      <c r="C37" s="173" t="s">
        <v>490</v>
      </c>
      <c r="D37" s="173">
        <v>31</v>
      </c>
      <c r="E37" s="177">
        <v>0.09</v>
      </c>
      <c r="F37" s="238"/>
      <c r="G37" s="238"/>
    </row>
    <row r="38" spans="3:9" x14ac:dyDescent="0.2">
      <c r="C38" s="173" t="s">
        <v>491</v>
      </c>
      <c r="D38" s="173">
        <v>28</v>
      </c>
      <c r="E38" s="177">
        <v>0.09</v>
      </c>
      <c r="F38" s="238"/>
      <c r="G38" s="238"/>
    </row>
    <row r="39" spans="3:9" x14ac:dyDescent="0.2">
      <c r="C39" s="173" t="s">
        <v>492</v>
      </c>
      <c r="D39" s="173">
        <v>16</v>
      </c>
      <c r="E39" s="177">
        <v>0.09</v>
      </c>
      <c r="F39" s="238"/>
      <c r="G39" s="238"/>
    </row>
    <row r="40" spans="3:9" ht="15" x14ac:dyDescent="0.25">
      <c r="D40" s="174">
        <f>SUM(D27:D39)</f>
        <v>365</v>
      </c>
      <c r="E40" s="176">
        <f>SUMPRODUCT(D27:D39,E27:E39)/D40</f>
        <v>8.9106849315068473E-2</v>
      </c>
      <c r="F40" s="239"/>
      <c r="G40" s="240"/>
    </row>
  </sheetData>
  <mergeCells count="9">
    <mergeCell ref="B6:B8"/>
    <mergeCell ref="C6:C8"/>
    <mergeCell ref="D6:F6"/>
    <mergeCell ref="C23:G23"/>
    <mergeCell ref="C25:C26"/>
    <mergeCell ref="D25:E25"/>
    <mergeCell ref="F25:G25"/>
    <mergeCell ref="G6:H6"/>
    <mergeCell ref="I6:J6"/>
  </mergeCells>
  <pageMargins left="0.27" right="0.25" top="1" bottom="1" header="0.25" footer="0.25"/>
  <pageSetup paperSize="9" scale="74"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topLeftCell="A3" zoomScale="96" zoomScaleNormal="96" zoomScaleSheetLayoutView="90" zoomScalePageLayoutView="84" workbookViewId="0">
      <selection activeCell="L14" sqref="L14"/>
    </sheetView>
  </sheetViews>
  <sheetFormatPr defaultColWidth="9.28515625" defaultRowHeight="14.25" x14ac:dyDescent="0.2"/>
  <cols>
    <col min="1" max="1" width="3.28515625" style="5" customWidth="1"/>
    <col min="2" max="2" width="6.28515625" style="5" customWidth="1"/>
    <col min="3" max="3" width="54.140625" style="5" customWidth="1"/>
    <col min="4" max="4" width="12" style="5" customWidth="1"/>
    <col min="5" max="5" width="10.7109375" style="5" customWidth="1"/>
    <col min="6" max="6" width="11.5703125" style="5" customWidth="1"/>
    <col min="7" max="7" width="12" style="5" customWidth="1"/>
    <col min="8" max="8" width="11.7109375" style="5" customWidth="1"/>
    <col min="9" max="9" width="11.28515625" style="5" customWidth="1"/>
    <col min="10" max="10" width="11" style="5" customWidth="1"/>
    <col min="11" max="13" width="11.7109375" style="5" bestFit="1" customWidth="1"/>
    <col min="14" max="16384" width="9.28515625" style="5"/>
  </cols>
  <sheetData>
    <row r="1" spans="2:10" ht="15" x14ac:dyDescent="0.2">
      <c r="B1" s="24"/>
    </row>
    <row r="2" spans="2:10" ht="15" x14ac:dyDescent="0.2">
      <c r="D2" s="32" t="s">
        <v>394</v>
      </c>
    </row>
    <row r="3" spans="2:10" ht="15" x14ac:dyDescent="0.2">
      <c r="D3" s="32" t="s">
        <v>397</v>
      </c>
    </row>
    <row r="4" spans="2:10" ht="15" x14ac:dyDescent="0.2">
      <c r="D4" s="35" t="s">
        <v>280</v>
      </c>
    </row>
    <row r="5" spans="2:10" ht="15" x14ac:dyDescent="0.2">
      <c r="J5" s="26" t="s">
        <v>4</v>
      </c>
    </row>
    <row r="6" spans="2:10" s="13" customFormat="1" ht="15" customHeight="1" x14ac:dyDescent="0.2">
      <c r="B6" s="319" t="s">
        <v>188</v>
      </c>
      <c r="C6" s="322" t="s">
        <v>14</v>
      </c>
      <c r="D6" s="326" t="s">
        <v>395</v>
      </c>
      <c r="E6" s="327"/>
      <c r="F6" s="328"/>
      <c r="G6" s="326" t="s">
        <v>396</v>
      </c>
      <c r="H6" s="328"/>
      <c r="I6" s="326" t="s">
        <v>462</v>
      </c>
      <c r="J6" s="328"/>
    </row>
    <row r="7" spans="2:10" s="13" customFormat="1" ht="45" x14ac:dyDescent="0.2">
      <c r="B7" s="320"/>
      <c r="C7" s="322"/>
      <c r="D7" s="15" t="s">
        <v>362</v>
      </c>
      <c r="E7" s="15" t="s">
        <v>232</v>
      </c>
      <c r="F7" s="15" t="s">
        <v>201</v>
      </c>
      <c r="G7" s="15" t="s">
        <v>362</v>
      </c>
      <c r="H7" s="15" t="s">
        <v>231</v>
      </c>
      <c r="I7" s="15" t="s">
        <v>362</v>
      </c>
      <c r="J7" s="15" t="s">
        <v>231</v>
      </c>
    </row>
    <row r="8" spans="2:10" s="13" customFormat="1" ht="30" x14ac:dyDescent="0.2">
      <c r="B8" s="321"/>
      <c r="C8" s="323"/>
      <c r="D8" s="15" t="s">
        <v>10</v>
      </c>
      <c r="E8" s="15" t="s">
        <v>12</v>
      </c>
      <c r="F8" s="15" t="s">
        <v>223</v>
      </c>
      <c r="G8" s="15" t="s">
        <v>10</v>
      </c>
      <c r="H8" s="15" t="s">
        <v>458</v>
      </c>
      <c r="I8" s="15" t="s">
        <v>10</v>
      </c>
      <c r="J8" s="15" t="s">
        <v>458</v>
      </c>
    </row>
    <row r="9" spans="2:10" x14ac:dyDescent="0.2">
      <c r="B9" s="62">
        <v>1</v>
      </c>
      <c r="C9" s="27" t="s">
        <v>216</v>
      </c>
      <c r="D9" s="112"/>
      <c r="E9" s="40">
        <f>'F4'!F22*30%</f>
        <v>681.01199999999994</v>
      </c>
      <c r="F9" s="40">
        <f>E9</f>
        <v>681.01199999999994</v>
      </c>
      <c r="G9" s="114"/>
      <c r="H9" s="115">
        <f>E13</f>
        <v>683.89949999999999</v>
      </c>
      <c r="I9" s="114"/>
      <c r="J9" s="115">
        <f>H13</f>
        <v>683.89949999999999</v>
      </c>
    </row>
    <row r="10" spans="2:10" x14ac:dyDescent="0.2">
      <c r="B10" s="20">
        <f>B9+1</f>
        <v>2</v>
      </c>
      <c r="C10" s="27" t="s">
        <v>217</v>
      </c>
      <c r="D10" s="112"/>
      <c r="E10" s="110">
        <f>'F3'!E12</f>
        <v>11.55</v>
      </c>
      <c r="F10" s="110">
        <f>'F3'!F12</f>
        <v>11.55</v>
      </c>
      <c r="G10" s="110">
        <f>'F3'!G12</f>
        <v>0</v>
      </c>
      <c r="H10" s="110">
        <f>'F3'!H12</f>
        <v>0</v>
      </c>
      <c r="I10" s="110">
        <f>'F3'!I12</f>
        <v>0</v>
      </c>
      <c r="J10" s="110">
        <f>'F3'!J12</f>
        <v>27.08</v>
      </c>
    </row>
    <row r="11" spans="2:10" x14ac:dyDescent="0.2">
      <c r="B11" s="20">
        <f t="shared" ref="B11:B21" si="0">B10+1</f>
        <v>3</v>
      </c>
      <c r="C11" s="29" t="s">
        <v>15</v>
      </c>
      <c r="D11" s="113">
        <f>D10*25%</f>
        <v>0</v>
      </c>
      <c r="E11" s="113">
        <f>E10*25%</f>
        <v>2.8875000000000002</v>
      </c>
      <c r="F11" s="113">
        <f t="shared" ref="F11:J11" si="1">F10*25%</f>
        <v>2.8875000000000002</v>
      </c>
      <c r="G11" s="113">
        <f t="shared" si="1"/>
        <v>0</v>
      </c>
      <c r="H11" s="113">
        <f t="shared" si="1"/>
        <v>0</v>
      </c>
      <c r="I11" s="113">
        <f t="shared" si="1"/>
        <v>0</v>
      </c>
      <c r="J11" s="113">
        <f t="shared" si="1"/>
        <v>6.77</v>
      </c>
    </row>
    <row r="12" spans="2:10" ht="28.5" x14ac:dyDescent="0.2">
      <c r="B12" s="20">
        <f t="shared" si="0"/>
        <v>4</v>
      </c>
      <c r="C12" s="69" t="s">
        <v>16</v>
      </c>
      <c r="D12" s="116"/>
      <c r="E12" s="40"/>
      <c r="F12" s="112"/>
      <c r="G12" s="40"/>
      <c r="H12" s="40"/>
      <c r="I12" s="40"/>
      <c r="J12" s="40"/>
    </row>
    <row r="13" spans="2:10" s="32" customFormat="1" ht="15" x14ac:dyDescent="0.2">
      <c r="B13" s="20">
        <f t="shared" si="0"/>
        <v>5</v>
      </c>
      <c r="C13" s="37" t="s">
        <v>17</v>
      </c>
      <c r="D13" s="117">
        <f>D9+D11-D12</f>
        <v>0</v>
      </c>
      <c r="E13" s="117">
        <f t="shared" ref="E13:J13" si="2">E9+E11-E12</f>
        <v>683.89949999999999</v>
      </c>
      <c r="F13" s="117">
        <f>F9+F11-F12</f>
        <v>683.89949999999999</v>
      </c>
      <c r="G13" s="117">
        <f t="shared" si="2"/>
        <v>0</v>
      </c>
      <c r="H13" s="117">
        <f t="shared" si="2"/>
        <v>683.89949999999999</v>
      </c>
      <c r="I13" s="117"/>
      <c r="J13" s="117">
        <f t="shared" si="2"/>
        <v>690.66949999999997</v>
      </c>
    </row>
    <row r="14" spans="2:10" s="32" customFormat="1" ht="15" x14ac:dyDescent="0.2">
      <c r="B14" s="20"/>
      <c r="C14" s="70" t="s">
        <v>281</v>
      </c>
      <c r="D14" s="116"/>
      <c r="E14" s="40"/>
      <c r="F14" s="112"/>
      <c r="G14" s="40"/>
      <c r="H14" s="40"/>
      <c r="I14" s="40"/>
      <c r="J14" s="40"/>
    </row>
    <row r="15" spans="2:10" s="32" customFormat="1" ht="15" x14ac:dyDescent="0.2">
      <c r="B15" s="20">
        <f>B13+1</f>
        <v>6</v>
      </c>
      <c r="C15" s="37" t="s">
        <v>282</v>
      </c>
      <c r="D15" s="264">
        <v>0.115</v>
      </c>
      <c r="E15" s="264">
        <v>0.155</v>
      </c>
      <c r="F15" s="264">
        <v>0.155</v>
      </c>
      <c r="G15" s="264">
        <v>0.155</v>
      </c>
      <c r="H15" s="264">
        <v>0.155</v>
      </c>
      <c r="I15" s="264">
        <v>0.155</v>
      </c>
      <c r="J15" s="264">
        <v>0.155</v>
      </c>
    </row>
    <row r="16" spans="2:10" s="32" customFormat="1" ht="15" x14ac:dyDescent="0.2">
      <c r="B16" s="20">
        <f>B15+1</f>
        <v>7</v>
      </c>
      <c r="C16" s="37" t="s">
        <v>283</v>
      </c>
      <c r="D16" s="265">
        <v>0.25168000000000001</v>
      </c>
      <c r="E16" s="265">
        <v>0.25168000000000001</v>
      </c>
      <c r="F16" s="265">
        <v>0.25168000000000001</v>
      </c>
      <c r="G16" s="265">
        <v>0.25168000000000001</v>
      </c>
      <c r="H16" s="265">
        <v>0.25168000000000001</v>
      </c>
      <c r="I16" s="265">
        <v>0.25168000000000001</v>
      </c>
      <c r="J16" s="265">
        <v>0.25168000000000001</v>
      </c>
    </row>
    <row r="17" spans="2:10" s="32" customFormat="1" ht="15" x14ac:dyDescent="0.2">
      <c r="B17" s="20">
        <f>B16+1</f>
        <v>8</v>
      </c>
      <c r="C17" s="30" t="s">
        <v>281</v>
      </c>
      <c r="D17" s="266">
        <f>D15/(1-D16)</f>
        <v>0.15367757109258073</v>
      </c>
      <c r="E17" s="266">
        <f t="shared" ref="E17:J17" si="3">E15/(1-E16)</f>
        <v>0.20713063929869574</v>
      </c>
      <c r="F17" s="266">
        <f t="shared" si="3"/>
        <v>0.20713063929869574</v>
      </c>
      <c r="G17" s="266">
        <f t="shared" si="3"/>
        <v>0.20713063929869574</v>
      </c>
      <c r="H17" s="266">
        <f t="shared" si="3"/>
        <v>0.20713063929869574</v>
      </c>
      <c r="I17" s="266">
        <f t="shared" si="3"/>
        <v>0.20713063929869574</v>
      </c>
      <c r="J17" s="266">
        <f t="shared" si="3"/>
        <v>0.20713063929869574</v>
      </c>
    </row>
    <row r="18" spans="2:10" ht="15" x14ac:dyDescent="0.2">
      <c r="B18" s="20"/>
      <c r="C18" s="70" t="s">
        <v>177</v>
      </c>
      <c r="D18" s="267"/>
      <c r="E18" s="40"/>
      <c r="F18" s="112"/>
      <c r="G18" s="40"/>
      <c r="H18" s="40"/>
      <c r="I18" s="40"/>
      <c r="J18" s="40"/>
    </row>
    <row r="19" spans="2:10" ht="17.25" customHeight="1" x14ac:dyDescent="0.2">
      <c r="B19" s="20">
        <f>B17+1</f>
        <v>9</v>
      </c>
      <c r="C19" s="69" t="s">
        <v>218</v>
      </c>
      <c r="D19" s="117">
        <f>D9*D17</f>
        <v>0</v>
      </c>
      <c r="E19" s="117">
        <f t="shared" ref="E19:J19" si="4">E9*E17</f>
        <v>141.05845093008338</v>
      </c>
      <c r="F19" s="117">
        <f t="shared" si="4"/>
        <v>141.05845093008338</v>
      </c>
      <c r="G19" s="117">
        <f t="shared" si="4"/>
        <v>0</v>
      </c>
      <c r="H19" s="117">
        <f t="shared" si="4"/>
        <v>141.65654065105838</v>
      </c>
      <c r="I19" s="117"/>
      <c r="J19" s="117">
        <f t="shared" si="4"/>
        <v>141.65654065105838</v>
      </c>
    </row>
    <row r="20" spans="2:10" ht="18.75" customHeight="1" x14ac:dyDescent="0.2">
      <c r="B20" s="20">
        <f t="shared" si="0"/>
        <v>10</v>
      </c>
      <c r="C20" s="69" t="s">
        <v>219</v>
      </c>
      <c r="D20" s="117">
        <f>AVERAGE(D9,D13)*D17-D19</f>
        <v>0</v>
      </c>
      <c r="E20" s="117">
        <f t="shared" ref="E20:J20" si="5">AVERAGE(E9,E13)*E17-E19</f>
        <v>0.29904486048749845</v>
      </c>
      <c r="F20" s="117">
        <f t="shared" si="5"/>
        <v>0.29904486048749845</v>
      </c>
      <c r="G20" s="117">
        <f t="shared" si="5"/>
        <v>0</v>
      </c>
      <c r="H20" s="117">
        <f t="shared" si="5"/>
        <v>0</v>
      </c>
      <c r="I20" s="117"/>
      <c r="J20" s="117">
        <f t="shared" si="5"/>
        <v>0.70113721402606188</v>
      </c>
    </row>
    <row r="21" spans="2:10" ht="15" x14ac:dyDescent="0.2">
      <c r="B21" s="20">
        <f t="shared" si="0"/>
        <v>11</v>
      </c>
      <c r="C21" s="39" t="s">
        <v>178</v>
      </c>
      <c r="D21" s="117">
        <v>104.8</v>
      </c>
      <c r="E21" s="117">
        <f>ROUND((E19+E20),2)</f>
        <v>141.36000000000001</v>
      </c>
      <c r="F21" s="117">
        <f>ROUND((F19+F20),2)</f>
        <v>141.36000000000001</v>
      </c>
      <c r="G21" s="117">
        <v>141.46</v>
      </c>
      <c r="H21" s="117">
        <f>ROUND((H19+H20),2)</f>
        <v>141.66</v>
      </c>
      <c r="I21" s="117">
        <v>141.46</v>
      </c>
      <c r="J21" s="117">
        <f>ROUND((J19+J20),2)</f>
        <v>142.36000000000001</v>
      </c>
    </row>
    <row r="22" spans="2:10" x14ac:dyDescent="0.2">
      <c r="C22" s="5" t="s">
        <v>234</v>
      </c>
    </row>
    <row r="23" spans="2:10" x14ac:dyDescent="0.2">
      <c r="C23" s="5" t="s">
        <v>392</v>
      </c>
    </row>
  </sheetData>
  <mergeCells count="5">
    <mergeCell ref="I6:J6"/>
    <mergeCell ref="B6:B8"/>
    <mergeCell ref="C6:C8"/>
    <mergeCell ref="D6:F6"/>
    <mergeCell ref="G6:H6"/>
  </mergeCells>
  <pageMargins left="1.02" right="0.25" top="1" bottom="1" header="0.25" footer="0.25"/>
  <pageSetup paperSize="9" scale="96"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8"/>
  <sheetViews>
    <sheetView showGridLines="0" view="pageBreakPreview" topLeftCell="A4" zoomScale="90" zoomScaleNormal="112" zoomScaleSheetLayoutView="90" workbookViewId="0">
      <selection activeCell="E28" sqref="E28"/>
    </sheetView>
  </sheetViews>
  <sheetFormatPr defaultColWidth="9.28515625" defaultRowHeight="14.25" x14ac:dyDescent="0.2"/>
  <cols>
    <col min="1" max="1" width="2.7109375" style="5" customWidth="1"/>
    <col min="2" max="2" width="6.28515625" style="5" customWidth="1"/>
    <col min="3" max="3" width="57" style="5" customWidth="1"/>
    <col min="4" max="4" width="11.28515625" style="5" customWidth="1"/>
    <col min="5" max="5" width="10" style="5" customWidth="1"/>
    <col min="6" max="6" width="13.7109375" style="5" customWidth="1"/>
    <col min="7" max="7" width="11.85546875" style="5" customWidth="1"/>
    <col min="8" max="8" width="9.5703125" style="5" customWidth="1"/>
    <col min="9" max="9" width="11.28515625" style="5" customWidth="1"/>
    <col min="10" max="10" width="9.7109375" style="5" customWidth="1"/>
    <col min="11" max="13" width="11.7109375" style="5" bestFit="1" customWidth="1"/>
    <col min="14" max="16384" width="9.28515625" style="5"/>
  </cols>
  <sheetData>
    <row r="2" spans="2:10" ht="15" x14ac:dyDescent="0.2">
      <c r="E2" s="32" t="s">
        <v>394</v>
      </c>
    </row>
    <row r="3" spans="2:10" ht="15" x14ac:dyDescent="0.2">
      <c r="E3" s="32" t="s">
        <v>397</v>
      </c>
    </row>
    <row r="4" spans="2:10" ht="15" x14ac:dyDescent="0.2">
      <c r="B4" s="33"/>
      <c r="C4" s="24"/>
      <c r="D4" s="25"/>
      <c r="E4" s="35" t="s">
        <v>284</v>
      </c>
      <c r="F4" s="25"/>
      <c r="G4" s="25"/>
      <c r="H4" s="25"/>
      <c r="I4" s="25"/>
      <c r="J4" s="25"/>
    </row>
    <row r="5" spans="2:10" ht="15" x14ac:dyDescent="0.2">
      <c r="J5" s="26" t="s">
        <v>4</v>
      </c>
    </row>
    <row r="6" spans="2:10" s="13" customFormat="1" ht="15" customHeight="1" x14ac:dyDescent="0.2">
      <c r="B6" s="319" t="s">
        <v>188</v>
      </c>
      <c r="C6" s="322" t="s">
        <v>14</v>
      </c>
      <c r="D6" s="326" t="s">
        <v>395</v>
      </c>
      <c r="E6" s="327"/>
      <c r="F6" s="328"/>
      <c r="G6" s="326" t="s">
        <v>396</v>
      </c>
      <c r="H6" s="328"/>
      <c r="I6" s="326" t="s">
        <v>462</v>
      </c>
      <c r="J6" s="328"/>
    </row>
    <row r="7" spans="2:10" s="13" customFormat="1" ht="30" x14ac:dyDescent="0.2">
      <c r="B7" s="320"/>
      <c r="C7" s="322"/>
      <c r="D7" s="15" t="s">
        <v>362</v>
      </c>
      <c r="E7" s="15" t="s">
        <v>232</v>
      </c>
      <c r="F7" s="15" t="s">
        <v>201</v>
      </c>
      <c r="G7" s="15" t="s">
        <v>362</v>
      </c>
      <c r="H7" s="15" t="s">
        <v>231</v>
      </c>
      <c r="I7" s="15" t="s">
        <v>362</v>
      </c>
      <c r="J7" s="15" t="s">
        <v>221</v>
      </c>
    </row>
    <row r="8" spans="2:10" s="13" customFormat="1" ht="30" x14ac:dyDescent="0.2">
      <c r="B8" s="321"/>
      <c r="C8" s="323"/>
      <c r="D8" s="15" t="s">
        <v>10</v>
      </c>
      <c r="E8" s="15" t="s">
        <v>12</v>
      </c>
      <c r="F8" s="15" t="s">
        <v>223</v>
      </c>
      <c r="G8" s="15" t="s">
        <v>10</v>
      </c>
      <c r="H8" s="15" t="s">
        <v>5</v>
      </c>
      <c r="I8" s="15" t="s">
        <v>10</v>
      </c>
      <c r="J8" s="15" t="s">
        <v>8</v>
      </c>
    </row>
    <row r="9" spans="2:10" s="13" customFormat="1" ht="15" x14ac:dyDescent="0.2">
      <c r="B9" s="62">
        <v>1</v>
      </c>
      <c r="C9" s="166" t="s">
        <v>410</v>
      </c>
      <c r="D9" s="138"/>
      <c r="E9" s="139">
        <v>0.12184002239527329</v>
      </c>
      <c r="F9" s="139">
        <v>0.12184002239527329</v>
      </c>
      <c r="G9" s="15"/>
      <c r="H9" s="170">
        <v>0.12671362329108424</v>
      </c>
      <c r="I9" s="15"/>
      <c r="J9" s="169">
        <v>0.13178216822272762</v>
      </c>
    </row>
    <row r="10" spans="2:10" s="13" customFormat="1" ht="15" x14ac:dyDescent="0.2">
      <c r="B10" s="62">
        <f>B9+1</f>
        <v>2</v>
      </c>
      <c r="C10" s="166" t="s">
        <v>409</v>
      </c>
      <c r="D10" s="138"/>
      <c r="E10" s="139">
        <v>1.8325387108612454E-4</v>
      </c>
      <c r="F10" s="139">
        <v>1.8325387108612454E-4</v>
      </c>
      <c r="G10" s="15"/>
      <c r="H10" s="170">
        <v>2.5941209112556786E-4</v>
      </c>
      <c r="I10" s="15"/>
      <c r="J10" s="169">
        <v>2.6978857477059058E-4</v>
      </c>
    </row>
    <row r="11" spans="2:10" s="13" customFormat="1" ht="15" x14ac:dyDescent="0.2">
      <c r="B11" s="62">
        <f>B10+1</f>
        <v>3</v>
      </c>
      <c r="C11" s="166" t="s">
        <v>408</v>
      </c>
      <c r="D11" s="138"/>
      <c r="E11" s="139">
        <v>8.1080951366595932E-2</v>
      </c>
      <c r="F11" s="139">
        <v>8.1080951366595932E-2</v>
      </c>
      <c r="G11" s="15"/>
      <c r="H11" s="170">
        <v>8.4324189421259771E-2</v>
      </c>
      <c r="I11" s="15"/>
      <c r="J11" s="169">
        <v>8.7697156998110162E-2</v>
      </c>
    </row>
    <row r="12" spans="2:10" s="13" customFormat="1" ht="15" x14ac:dyDescent="0.2">
      <c r="B12" s="167">
        <f t="shared" ref="B12:B27" si="0">B11+1</f>
        <v>4</v>
      </c>
      <c r="C12" s="166" t="s">
        <v>421</v>
      </c>
      <c r="D12" s="138"/>
      <c r="E12" s="139">
        <v>0.92634209999999995</v>
      </c>
      <c r="F12" s="139">
        <v>0.92634209999999995</v>
      </c>
      <c r="G12" s="15"/>
      <c r="H12" s="170">
        <v>0.96339578399999992</v>
      </c>
      <c r="I12" s="15"/>
      <c r="J12" s="169">
        <v>1.00193161536</v>
      </c>
    </row>
    <row r="13" spans="2:10" s="13" customFormat="1" ht="15" x14ac:dyDescent="0.2">
      <c r="B13" s="167">
        <f t="shared" si="0"/>
        <v>5</v>
      </c>
      <c r="C13" s="166" t="s">
        <v>418</v>
      </c>
      <c r="D13" s="139"/>
      <c r="E13" s="139">
        <v>8.464925742067397E-3</v>
      </c>
      <c r="F13" s="139">
        <v>8.464925742067397E-3</v>
      </c>
      <c r="G13" s="15"/>
      <c r="H13" s="170">
        <v>8.803522771750092E-3</v>
      </c>
      <c r="I13" s="15"/>
      <c r="J13" s="169">
        <v>9.1556636826200955E-3</v>
      </c>
    </row>
    <row r="14" spans="2:10" s="13" customFormat="1" ht="15" x14ac:dyDescent="0.2">
      <c r="B14" s="167">
        <f t="shared" si="0"/>
        <v>6</v>
      </c>
      <c r="C14" s="166" t="s">
        <v>404</v>
      </c>
      <c r="D14" s="139"/>
      <c r="E14" s="139">
        <v>0.1392857933576665</v>
      </c>
      <c r="F14" s="139">
        <v>0.1392857933576665</v>
      </c>
      <c r="G14" s="15"/>
      <c r="H14" s="170">
        <v>0.14485722509197316</v>
      </c>
      <c r="I14" s="15"/>
      <c r="J14" s="169">
        <v>0.15065151409565208</v>
      </c>
    </row>
    <row r="15" spans="2:10" s="13" customFormat="1" ht="15" x14ac:dyDescent="0.2">
      <c r="B15" s="167">
        <f t="shared" si="0"/>
        <v>7</v>
      </c>
      <c r="C15" s="166" t="s">
        <v>417</v>
      </c>
      <c r="D15" s="139"/>
      <c r="E15" s="139">
        <v>1.9336367E-2</v>
      </c>
      <c r="F15" s="139">
        <v>1.9336367E-2</v>
      </c>
      <c r="G15" s="15"/>
      <c r="H15" s="170">
        <v>2.0109821680000001E-2</v>
      </c>
      <c r="I15" s="15"/>
      <c r="J15" s="169">
        <v>2.0914214547200001E-2</v>
      </c>
    </row>
    <row r="16" spans="2:10" s="13" customFormat="1" ht="15" x14ac:dyDescent="0.2">
      <c r="B16" s="167">
        <f t="shared" si="0"/>
        <v>8</v>
      </c>
      <c r="C16" s="166" t="s">
        <v>412</v>
      </c>
      <c r="D16" s="139"/>
      <c r="E16" s="139">
        <v>0.15276412973419723</v>
      </c>
      <c r="F16" s="139">
        <v>0.15276412973419723</v>
      </c>
      <c r="G16" s="15"/>
      <c r="H16" s="170">
        <v>0.15887469492356512</v>
      </c>
      <c r="I16" s="15"/>
      <c r="J16" s="169">
        <v>0.16522968272050773</v>
      </c>
    </row>
    <row r="17" spans="2:10" s="13" customFormat="1" ht="15" x14ac:dyDescent="0.2">
      <c r="B17" s="167">
        <f t="shared" si="0"/>
        <v>9</v>
      </c>
      <c r="C17" s="166" t="s">
        <v>405</v>
      </c>
      <c r="D17" s="139"/>
      <c r="E17" s="139">
        <v>6.317618552504638</v>
      </c>
      <c r="F17" s="139">
        <v>6.317618552504638</v>
      </c>
      <c r="G17" s="15"/>
      <c r="H17" s="170">
        <v>6.5703232946048233</v>
      </c>
      <c r="I17" s="15"/>
      <c r="J17" s="169">
        <v>6.8331362263890165</v>
      </c>
    </row>
    <row r="18" spans="2:10" s="13" customFormat="1" ht="15" x14ac:dyDescent="0.2">
      <c r="B18" s="167">
        <f t="shared" si="0"/>
        <v>10</v>
      </c>
      <c r="C18" s="166" t="s">
        <v>475</v>
      </c>
      <c r="D18" s="139"/>
      <c r="E18" s="139">
        <v>0</v>
      </c>
      <c r="F18" s="139">
        <v>0</v>
      </c>
      <c r="G18" s="15"/>
      <c r="H18" s="170">
        <v>0</v>
      </c>
      <c r="I18" s="15"/>
      <c r="J18" s="169">
        <v>0</v>
      </c>
    </row>
    <row r="19" spans="2:10" s="13" customFormat="1" ht="15" x14ac:dyDescent="0.2">
      <c r="B19" s="167">
        <f t="shared" si="0"/>
        <v>11</v>
      </c>
      <c r="C19" s="166" t="s">
        <v>407</v>
      </c>
      <c r="D19" s="139"/>
      <c r="E19" s="139">
        <v>0.34754982599999995</v>
      </c>
      <c r="F19" s="139">
        <v>0.34754982599999995</v>
      </c>
      <c r="G19" s="15"/>
      <c r="H19" s="170">
        <v>0.37071772250000001</v>
      </c>
      <c r="I19" s="15"/>
      <c r="J19" s="169">
        <v>0.3855464314</v>
      </c>
    </row>
    <row r="20" spans="2:10" s="13" customFormat="1" ht="15" x14ac:dyDescent="0.2">
      <c r="B20" s="167">
        <f t="shared" si="0"/>
        <v>12</v>
      </c>
      <c r="C20" s="166" t="s">
        <v>406</v>
      </c>
      <c r="D20" s="139"/>
      <c r="E20" s="139">
        <v>0</v>
      </c>
      <c r="F20" s="139">
        <v>0</v>
      </c>
      <c r="G20" s="15"/>
      <c r="H20" s="170">
        <v>0</v>
      </c>
      <c r="I20" s="15"/>
      <c r="J20" s="169">
        <v>0</v>
      </c>
    </row>
    <row r="21" spans="2:10" x14ac:dyDescent="0.2">
      <c r="B21" s="167">
        <f t="shared" si="0"/>
        <v>13</v>
      </c>
      <c r="C21" s="166" t="s">
        <v>411</v>
      </c>
      <c r="D21" s="139"/>
      <c r="E21" s="139">
        <v>3.8105636147201497E-3</v>
      </c>
      <c r="F21" s="139">
        <v>3.8105636147201497E-3</v>
      </c>
      <c r="G21" s="21"/>
      <c r="H21" s="171">
        <v>3.9629861593089557E-3</v>
      </c>
      <c r="I21" s="21"/>
      <c r="J21" s="115">
        <v>4.1215056056813143E-3</v>
      </c>
    </row>
    <row r="22" spans="2:10" x14ac:dyDescent="0.2">
      <c r="B22" s="167">
        <f t="shared" si="0"/>
        <v>14</v>
      </c>
      <c r="C22" s="166" t="s">
        <v>415</v>
      </c>
      <c r="D22" s="139"/>
      <c r="E22" s="139">
        <v>5.9634889962888148E-2</v>
      </c>
      <c r="F22" s="139">
        <v>5.9634889962888148E-2</v>
      </c>
      <c r="G22" s="21"/>
      <c r="H22" s="171">
        <v>6.2020285561403675E-2</v>
      </c>
      <c r="I22" s="21"/>
      <c r="J22" s="115">
        <v>6.4501096983859821E-2</v>
      </c>
    </row>
    <row r="23" spans="2:10" x14ac:dyDescent="0.2">
      <c r="B23" s="167">
        <f t="shared" si="0"/>
        <v>15</v>
      </c>
      <c r="C23" s="166" t="s">
        <v>419</v>
      </c>
      <c r="D23" s="139"/>
      <c r="E23" s="139">
        <v>8.258956978224466E-2</v>
      </c>
      <c r="F23" s="139">
        <v>8.258956978224466E-2</v>
      </c>
      <c r="G23" s="21"/>
      <c r="H23" s="171">
        <v>8.5893152573534456E-2</v>
      </c>
      <c r="I23" s="21"/>
      <c r="J23" s="115">
        <v>8.9328878676475834E-2</v>
      </c>
    </row>
    <row r="24" spans="2:10" x14ac:dyDescent="0.2">
      <c r="B24" s="167">
        <f t="shared" si="0"/>
        <v>16</v>
      </c>
      <c r="C24" s="166" t="s">
        <v>420</v>
      </c>
      <c r="D24" s="139"/>
      <c r="E24" s="139">
        <v>4.1107892969595664E-3</v>
      </c>
      <c r="F24" s="139">
        <v>4.1107892969595664E-3</v>
      </c>
      <c r="G24" s="21"/>
      <c r="H24" s="171">
        <v>4.2752208688379492E-3</v>
      </c>
      <c r="I24" s="21"/>
      <c r="J24" s="115">
        <v>4.4462297035914675E-3</v>
      </c>
    </row>
    <row r="25" spans="2:10" ht="15.75" customHeight="1" x14ac:dyDescent="0.2">
      <c r="B25" s="167">
        <f t="shared" si="0"/>
        <v>17</v>
      </c>
      <c r="C25" s="166" t="s">
        <v>416</v>
      </c>
      <c r="D25" s="140">
        <f>SUM(D9:D20)</f>
        <v>0</v>
      </c>
      <c r="E25" s="139">
        <v>7.2989665225017958E-2</v>
      </c>
      <c r="F25" s="139">
        <v>7.2989665225017958E-2</v>
      </c>
      <c r="G25" s="29"/>
      <c r="H25" s="105">
        <v>0.35796295760197555</v>
      </c>
      <c r="I25" s="29"/>
      <c r="J25" s="110">
        <v>0.37228147590605459</v>
      </c>
    </row>
    <row r="26" spans="2:10" s="32" customFormat="1" ht="15" x14ac:dyDescent="0.2">
      <c r="B26" s="167">
        <f t="shared" si="0"/>
        <v>18</v>
      </c>
      <c r="C26" s="166" t="s">
        <v>414</v>
      </c>
      <c r="D26" s="140"/>
      <c r="E26" s="139">
        <v>2.6459765653188923E-4</v>
      </c>
      <c r="F26" s="139">
        <v>2.6459765653188923E-4</v>
      </c>
      <c r="G26" s="29"/>
      <c r="H26" s="105">
        <v>9.7331665402386344E-2</v>
      </c>
      <c r="I26" s="29"/>
      <c r="J26" s="110">
        <v>0.1012249320184818</v>
      </c>
    </row>
    <row r="27" spans="2:10" s="32" customFormat="1" ht="15" x14ac:dyDescent="0.2">
      <c r="B27" s="167">
        <f t="shared" si="0"/>
        <v>19</v>
      </c>
      <c r="C27" s="166" t="s">
        <v>413</v>
      </c>
      <c r="D27" s="140"/>
      <c r="E27" s="139">
        <v>1.0253347999999999E-2</v>
      </c>
      <c r="F27" s="139">
        <v>1.0253347999999999E-2</v>
      </c>
      <c r="G27" s="29"/>
      <c r="H27" s="105">
        <v>1.2363864138270972E-2</v>
      </c>
      <c r="I27" s="29"/>
      <c r="J27" s="110">
        <v>1.285841870380181E-2</v>
      </c>
    </row>
    <row r="28" spans="2:10" ht="15" x14ac:dyDescent="0.2">
      <c r="B28" s="20"/>
      <c r="C28" s="31" t="s">
        <v>135</v>
      </c>
      <c r="D28" s="104">
        <v>15.22</v>
      </c>
      <c r="E28" s="104">
        <f>ROUND(SUM(E9:E27),2)</f>
        <v>8.35</v>
      </c>
      <c r="F28" s="104">
        <f>ROUND(SUM(F9:F27),2)</f>
        <v>8.35</v>
      </c>
      <c r="G28" s="104">
        <v>15.83</v>
      </c>
      <c r="H28" s="104">
        <f>ROUND(SUM(H9:H27),2)</f>
        <v>9.07</v>
      </c>
      <c r="I28" s="104">
        <v>16.46</v>
      </c>
      <c r="J28" s="104">
        <f>ROUND(SUM(J9:J27),2)</f>
        <v>9.44</v>
      </c>
    </row>
  </sheetData>
  <mergeCells count="5">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1"/>
  <sheetViews>
    <sheetView showGridLines="0" view="pageBreakPreview" zoomScaleNormal="93" zoomScaleSheetLayoutView="100" workbookViewId="0">
      <selection activeCell="H9" sqref="H9"/>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329" t="s">
        <v>394</v>
      </c>
      <c r="C2" s="329"/>
      <c r="D2" s="329"/>
      <c r="E2" s="329"/>
      <c r="F2" s="329"/>
    </row>
    <row r="3" spans="2:6" ht="15" x14ac:dyDescent="0.2">
      <c r="B3" s="329" t="s">
        <v>397</v>
      </c>
      <c r="C3" s="329"/>
      <c r="D3" s="329"/>
      <c r="E3" s="329"/>
      <c r="F3" s="329"/>
    </row>
    <row r="4" spans="2:6" ht="14.25" customHeight="1" x14ac:dyDescent="0.2">
      <c r="B4" s="329" t="s">
        <v>286</v>
      </c>
      <c r="C4" s="329"/>
      <c r="D4" s="329"/>
      <c r="E4" s="329"/>
      <c r="F4" s="329"/>
    </row>
    <row r="5" spans="2:6" ht="15" x14ac:dyDescent="0.2">
      <c r="B5" s="24"/>
      <c r="C5" s="72"/>
      <c r="D5" s="73"/>
    </row>
    <row r="6" spans="2:6" ht="15" customHeight="1" x14ac:dyDescent="0.2">
      <c r="B6" s="331" t="s">
        <v>2</v>
      </c>
      <c r="C6" s="336" t="s">
        <v>14</v>
      </c>
      <c r="D6" s="118" t="s">
        <v>395</v>
      </c>
      <c r="E6" s="23" t="s">
        <v>396</v>
      </c>
      <c r="F6" s="23" t="s">
        <v>462</v>
      </c>
    </row>
    <row r="7" spans="2:6" ht="15" x14ac:dyDescent="0.2">
      <c r="B7" s="331"/>
      <c r="C7" s="336"/>
      <c r="D7" s="15" t="s">
        <v>285</v>
      </c>
      <c r="E7" s="15" t="s">
        <v>231</v>
      </c>
      <c r="F7" s="15" t="s">
        <v>231</v>
      </c>
    </row>
    <row r="8" spans="2:6" ht="24.75" customHeight="1" x14ac:dyDescent="0.2">
      <c r="B8" s="354"/>
      <c r="C8" s="355"/>
      <c r="D8" s="15" t="s">
        <v>3</v>
      </c>
      <c r="E8" s="15" t="s">
        <v>5</v>
      </c>
      <c r="F8" s="15" t="s">
        <v>8</v>
      </c>
    </row>
    <row r="9" spans="2:6" ht="15" x14ac:dyDescent="0.2">
      <c r="B9" s="74">
        <v>1</v>
      </c>
      <c r="C9" s="75" t="s">
        <v>161</v>
      </c>
      <c r="D9" s="71"/>
      <c r="E9" s="71"/>
      <c r="F9" s="27"/>
    </row>
    <row r="10" spans="2:6" s="32" customFormat="1" ht="15" x14ac:dyDescent="0.2">
      <c r="B10" s="76" t="s">
        <v>53</v>
      </c>
      <c r="C10" s="39" t="s">
        <v>54</v>
      </c>
      <c r="D10" s="77"/>
      <c r="E10" s="39"/>
      <c r="F10" s="39"/>
    </row>
    <row r="11" spans="2:6" s="32" customFormat="1" ht="15" x14ac:dyDescent="0.2">
      <c r="B11" s="78"/>
      <c r="C11" s="29" t="s">
        <v>55</v>
      </c>
      <c r="D11" s="77"/>
      <c r="E11" s="39"/>
      <c r="F11" s="39"/>
    </row>
    <row r="12" spans="2:6" s="32" customFormat="1" ht="15" x14ac:dyDescent="0.2">
      <c r="B12" s="78"/>
      <c r="C12" s="29" t="s">
        <v>56</v>
      </c>
      <c r="D12" s="77"/>
      <c r="E12" s="39"/>
      <c r="F12" s="39"/>
    </row>
    <row r="13" spans="2:6" s="32" customFormat="1" ht="15" x14ac:dyDescent="0.2">
      <c r="B13" s="78"/>
      <c r="C13" s="29" t="s">
        <v>57</v>
      </c>
      <c r="D13" s="77" t="s">
        <v>459</v>
      </c>
      <c r="E13" s="39"/>
      <c r="F13" s="39"/>
    </row>
    <row r="14" spans="2:6" s="32" customFormat="1" ht="15" x14ac:dyDescent="0.2">
      <c r="B14" s="78"/>
      <c r="C14" s="79"/>
      <c r="D14" s="77"/>
      <c r="E14" s="39"/>
      <c r="F14" s="39"/>
    </row>
    <row r="15" spans="2:6" s="32" customFormat="1" ht="15" x14ac:dyDescent="0.2">
      <c r="B15" s="76" t="s">
        <v>58</v>
      </c>
      <c r="C15" s="80" t="s">
        <v>59</v>
      </c>
      <c r="D15" s="77"/>
      <c r="E15" s="39"/>
      <c r="F15" s="39"/>
    </row>
    <row r="16" spans="2:6" s="32" customFormat="1" ht="15" x14ac:dyDescent="0.2">
      <c r="B16" s="78"/>
      <c r="C16" s="29" t="s">
        <v>55</v>
      </c>
      <c r="D16" s="77"/>
      <c r="E16" s="39"/>
      <c r="F16" s="39"/>
    </row>
    <row r="17" spans="2:6" x14ac:dyDescent="0.2">
      <c r="B17" s="78"/>
      <c r="C17" s="29" t="s">
        <v>56</v>
      </c>
      <c r="D17" s="77"/>
      <c r="E17" s="27"/>
      <c r="F17" s="27"/>
    </row>
    <row r="18" spans="2:6" x14ac:dyDescent="0.2">
      <c r="B18" s="81"/>
      <c r="C18" s="29" t="s">
        <v>60</v>
      </c>
      <c r="D18" s="77"/>
      <c r="E18" s="27"/>
      <c r="F18" s="27"/>
    </row>
    <row r="19" spans="2:6" ht="15" x14ac:dyDescent="0.2">
      <c r="B19" s="81"/>
      <c r="C19" s="80"/>
      <c r="D19" s="77"/>
      <c r="E19" s="27"/>
      <c r="F19" s="27"/>
    </row>
    <row r="20" spans="2:6" ht="17.25" customHeight="1" x14ac:dyDescent="0.2">
      <c r="B20" s="76">
        <v>2</v>
      </c>
      <c r="C20" s="75" t="s">
        <v>162</v>
      </c>
      <c r="D20" s="77"/>
      <c r="E20" s="27"/>
      <c r="F20" s="27"/>
    </row>
    <row r="21" spans="2:6" ht="17.25" customHeight="1" x14ac:dyDescent="0.2">
      <c r="B21" s="76"/>
      <c r="C21" s="75" t="s">
        <v>61</v>
      </c>
      <c r="D21" s="77"/>
      <c r="E21" s="27"/>
      <c r="F21" s="27"/>
    </row>
    <row r="22" spans="2:6" ht="17.25" customHeight="1" x14ac:dyDescent="0.2">
      <c r="B22" s="76"/>
      <c r="C22" s="75" t="s">
        <v>61</v>
      </c>
      <c r="D22" s="77"/>
      <c r="E22" s="27"/>
      <c r="F22" s="27"/>
    </row>
    <row r="23" spans="2:6" ht="15" x14ac:dyDescent="0.2">
      <c r="B23" s="78"/>
      <c r="C23" s="80" t="s">
        <v>62</v>
      </c>
      <c r="D23" s="77"/>
      <c r="E23" s="27"/>
      <c r="F23" s="27"/>
    </row>
    <row r="25" spans="2:6" ht="15" x14ac:dyDescent="0.2">
      <c r="B25" s="82" t="s">
        <v>50</v>
      </c>
      <c r="C25" s="83"/>
      <c r="D25" s="83"/>
      <c r="E25" s="83"/>
    </row>
    <row r="26" spans="2:6" x14ac:dyDescent="0.2">
      <c r="B26" s="5" t="s">
        <v>203</v>
      </c>
      <c r="D26" s="84"/>
      <c r="E26" s="83"/>
    </row>
    <row r="27" spans="2:6" ht="18" customHeight="1" x14ac:dyDescent="0.2">
      <c r="B27" s="83"/>
      <c r="E27" s="83"/>
    </row>
    <row r="28" spans="2:6" x14ac:dyDescent="0.2">
      <c r="B28" s="83"/>
      <c r="C28" s="83"/>
      <c r="D28" s="83"/>
      <c r="E28" s="83"/>
    </row>
    <row r="29" spans="2:6" x14ac:dyDescent="0.2">
      <c r="B29" s="83"/>
      <c r="C29" s="83"/>
      <c r="D29" s="83"/>
      <c r="E29" s="83"/>
    </row>
    <row r="30" spans="2:6" x14ac:dyDescent="0.2">
      <c r="B30" s="83"/>
      <c r="C30" s="83"/>
      <c r="D30" s="83"/>
      <c r="E30" s="83"/>
    </row>
    <row r="31" spans="2:6" x14ac:dyDescent="0.2">
      <c r="B31" s="83"/>
      <c r="C31" s="83"/>
      <c r="D31" s="83"/>
      <c r="E31" s="83"/>
    </row>
  </sheetData>
  <mergeCells count="5">
    <mergeCell ref="B6:B8"/>
    <mergeCell ref="C6:C8"/>
    <mergeCell ref="B4:F4"/>
    <mergeCell ref="B3:F3"/>
    <mergeCell ref="B2:F2"/>
  </mergeCells>
  <pageMargins left="0.75" right="0.75" top="1" bottom="1" header="0.5" footer="0.5"/>
  <pageSetup paperSize="9" scale="9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48"/>
  <sheetViews>
    <sheetView showGridLines="0" view="pageBreakPreview" zoomScaleNormal="91" zoomScaleSheetLayoutView="100" workbookViewId="0">
      <selection activeCell="E10" sqref="E10"/>
    </sheetView>
  </sheetViews>
  <sheetFormatPr defaultColWidth="9.28515625" defaultRowHeight="15" x14ac:dyDescent="0.2"/>
  <cols>
    <col min="1" max="1" width="3.28515625" style="32" customWidth="1"/>
    <col min="2" max="2" width="6.28515625" style="32" customWidth="1"/>
    <col min="3" max="3" width="43.140625" style="32" customWidth="1"/>
    <col min="4" max="4" width="8.7109375" style="35" customWidth="1"/>
    <col min="5" max="5" width="12.5703125" style="35" customWidth="1"/>
    <col min="6" max="6" width="12.140625" style="32" customWidth="1"/>
    <col min="7" max="7" width="15" style="32" customWidth="1"/>
    <col min="8" max="8" width="13.7109375" style="32" customWidth="1"/>
    <col min="9" max="9" width="12.28515625" style="32" customWidth="1"/>
    <col min="10" max="10" width="13.28515625" style="32" customWidth="1"/>
    <col min="11" max="11" width="12.7109375" style="32" customWidth="1"/>
    <col min="12" max="12" width="12.28515625" style="32" customWidth="1"/>
    <col min="13" max="16384" width="9.28515625" style="32"/>
  </cols>
  <sheetData>
    <row r="2" spans="2:12" x14ac:dyDescent="0.2">
      <c r="B2" s="36"/>
      <c r="D2" s="32"/>
      <c r="E2" s="32"/>
      <c r="F2" s="32" t="s">
        <v>394</v>
      </c>
    </row>
    <row r="3" spans="2:12" x14ac:dyDescent="0.2">
      <c r="D3" s="32"/>
      <c r="E3" s="32"/>
      <c r="F3" s="32" t="s">
        <v>397</v>
      </c>
    </row>
    <row r="4" spans="2:12" s="36" customFormat="1" x14ac:dyDescent="0.2">
      <c r="C4" s="32"/>
      <c r="D4" s="32"/>
      <c r="E4" s="32"/>
      <c r="F4" s="35" t="s">
        <v>287</v>
      </c>
      <c r="G4" s="32"/>
      <c r="H4" s="32"/>
      <c r="I4" s="32"/>
      <c r="J4" s="32"/>
      <c r="K4" s="32"/>
      <c r="L4" s="32"/>
    </row>
    <row r="5" spans="2:12" s="36" customFormat="1" x14ac:dyDescent="0.2">
      <c r="C5" s="72"/>
      <c r="D5" s="35"/>
      <c r="E5" s="35"/>
      <c r="F5" s="150"/>
      <c r="G5" s="150"/>
      <c r="H5" s="150"/>
    </row>
    <row r="6" spans="2:12" x14ac:dyDescent="0.2">
      <c r="B6" s="356" t="s">
        <v>188</v>
      </c>
      <c r="C6" s="358" t="s">
        <v>14</v>
      </c>
      <c r="D6" s="358" t="s">
        <v>35</v>
      </c>
      <c r="E6" s="326" t="s">
        <v>395</v>
      </c>
      <c r="F6" s="327"/>
      <c r="G6" s="328"/>
      <c r="H6" s="68" t="s">
        <v>396</v>
      </c>
      <c r="I6" s="118"/>
      <c r="J6" s="326" t="s">
        <v>462</v>
      </c>
      <c r="K6" s="328"/>
      <c r="L6" s="356" t="s">
        <v>11</v>
      </c>
    </row>
    <row r="7" spans="2:12" ht="30" x14ac:dyDescent="0.2">
      <c r="B7" s="358"/>
      <c r="C7" s="358"/>
      <c r="D7" s="358"/>
      <c r="E7" s="203" t="s">
        <v>362</v>
      </c>
      <c r="F7" s="203" t="s">
        <v>232</v>
      </c>
      <c r="G7" s="203" t="s">
        <v>201</v>
      </c>
      <c r="H7" s="203" t="s">
        <v>362</v>
      </c>
      <c r="I7" s="203" t="s">
        <v>498</v>
      </c>
      <c r="J7" s="203" t="s">
        <v>362</v>
      </c>
      <c r="K7" s="203" t="s">
        <v>231</v>
      </c>
      <c r="L7" s="356"/>
    </row>
    <row r="8" spans="2:12" x14ac:dyDescent="0.2">
      <c r="B8" s="358"/>
      <c r="C8" s="358"/>
      <c r="D8" s="358"/>
      <c r="E8" s="203" t="s">
        <v>10</v>
      </c>
      <c r="F8" s="203" t="s">
        <v>12</v>
      </c>
      <c r="G8" s="203" t="s">
        <v>223</v>
      </c>
      <c r="H8" s="203" t="s">
        <v>10</v>
      </c>
      <c r="I8" s="203" t="s">
        <v>5</v>
      </c>
      <c r="J8" s="203" t="s">
        <v>10</v>
      </c>
      <c r="K8" s="203" t="s">
        <v>8</v>
      </c>
      <c r="L8" s="357"/>
    </row>
    <row r="9" spans="2:12" x14ac:dyDescent="0.2">
      <c r="B9" s="203"/>
      <c r="C9" s="204"/>
      <c r="D9" s="205"/>
      <c r="E9" s="205"/>
      <c r="F9" s="198"/>
      <c r="G9" s="198"/>
      <c r="H9" s="198"/>
      <c r="I9" s="198"/>
      <c r="J9" s="198"/>
      <c r="K9" s="198"/>
      <c r="L9" s="198"/>
    </row>
    <row r="10" spans="2:12" x14ac:dyDescent="0.2">
      <c r="B10" s="203">
        <v>1</v>
      </c>
      <c r="C10" s="204" t="s">
        <v>205</v>
      </c>
      <c r="D10" s="203" t="s">
        <v>36</v>
      </c>
      <c r="E10" s="300" t="s">
        <v>455</v>
      </c>
      <c r="F10" s="301">
        <v>500</v>
      </c>
      <c r="G10" s="301"/>
      <c r="H10" s="301"/>
      <c r="I10" s="301"/>
      <c r="J10" s="301"/>
      <c r="K10" s="201"/>
      <c r="L10" s="201"/>
    </row>
    <row r="11" spans="2:12" x14ac:dyDescent="0.2">
      <c r="B11" s="203"/>
      <c r="C11" s="204" t="s">
        <v>335</v>
      </c>
      <c r="D11" s="203"/>
      <c r="E11" s="300" t="s">
        <v>457</v>
      </c>
      <c r="F11" s="301"/>
      <c r="G11" s="301"/>
      <c r="H11" s="301"/>
      <c r="I11" s="301"/>
      <c r="J11" s="301"/>
      <c r="K11" s="201"/>
      <c r="L11" s="201"/>
    </row>
    <row r="12" spans="2:12" ht="36" customHeight="1" x14ac:dyDescent="0.2">
      <c r="B12" s="203"/>
      <c r="C12" s="204" t="s">
        <v>213</v>
      </c>
      <c r="D12" s="203"/>
      <c r="E12" s="300" t="s">
        <v>456</v>
      </c>
      <c r="F12" s="301"/>
      <c r="G12" s="301"/>
      <c r="H12" s="301"/>
      <c r="I12" s="301"/>
      <c r="J12" s="301"/>
      <c r="K12" s="201"/>
      <c r="L12" s="201"/>
    </row>
    <row r="13" spans="2:12" x14ac:dyDescent="0.2">
      <c r="B13" s="203"/>
      <c r="C13" s="204"/>
      <c r="D13" s="203"/>
      <c r="E13" s="300"/>
      <c r="F13" s="301"/>
      <c r="G13" s="301"/>
      <c r="H13" s="301"/>
      <c r="I13" s="301"/>
      <c r="J13" s="301"/>
      <c r="K13" s="201"/>
      <c r="L13" s="201"/>
    </row>
    <row r="14" spans="2:12" x14ac:dyDescent="0.2">
      <c r="B14" s="203">
        <v>2</v>
      </c>
      <c r="C14" s="204" t="s">
        <v>168</v>
      </c>
      <c r="D14" s="203"/>
      <c r="E14" s="302"/>
      <c r="F14" s="302"/>
      <c r="G14" s="302"/>
      <c r="H14" s="302"/>
      <c r="I14" s="302"/>
      <c r="J14" s="302"/>
      <c r="K14" s="202"/>
      <c r="L14" s="201"/>
    </row>
    <row r="15" spans="2:12" ht="30" x14ac:dyDescent="0.2">
      <c r="B15" s="203">
        <f>B14+0.1</f>
        <v>2.1</v>
      </c>
      <c r="C15" s="204" t="s">
        <v>37</v>
      </c>
      <c r="D15" s="203" t="s">
        <v>38</v>
      </c>
      <c r="E15" s="303">
        <v>85</v>
      </c>
      <c r="F15" s="303">
        <v>85</v>
      </c>
      <c r="G15" s="303">
        <v>85</v>
      </c>
      <c r="H15" s="303">
        <v>85</v>
      </c>
      <c r="I15" s="303">
        <v>85</v>
      </c>
      <c r="J15" s="303">
        <v>85</v>
      </c>
      <c r="K15" s="304">
        <v>85</v>
      </c>
      <c r="L15" s="305"/>
    </row>
    <row r="16" spans="2:12" x14ac:dyDescent="0.2">
      <c r="B16" s="203">
        <f>B15+0.1</f>
        <v>2.2000000000000002</v>
      </c>
      <c r="C16" s="204" t="s">
        <v>153</v>
      </c>
      <c r="D16" s="203" t="s">
        <v>38</v>
      </c>
      <c r="E16" s="303"/>
      <c r="F16" s="303">
        <v>81.150000000000006</v>
      </c>
      <c r="G16" s="303">
        <f>F16</f>
        <v>81.150000000000006</v>
      </c>
      <c r="H16" s="303"/>
      <c r="I16" s="303">
        <v>85</v>
      </c>
      <c r="J16" s="303"/>
      <c r="K16" s="304">
        <v>85</v>
      </c>
      <c r="L16" s="305"/>
    </row>
    <row r="17" spans="2:12" x14ac:dyDescent="0.2">
      <c r="B17" s="203"/>
      <c r="C17" s="204"/>
      <c r="D17" s="203"/>
      <c r="E17" s="303"/>
      <c r="F17" s="303"/>
      <c r="G17" s="303"/>
      <c r="H17" s="303"/>
      <c r="I17" s="303"/>
      <c r="J17" s="303"/>
      <c r="K17" s="304"/>
      <c r="L17" s="305"/>
    </row>
    <row r="18" spans="2:12" x14ac:dyDescent="0.2">
      <c r="B18" s="203">
        <v>3</v>
      </c>
      <c r="C18" s="204" t="s">
        <v>169</v>
      </c>
      <c r="D18" s="203"/>
      <c r="E18" s="303"/>
      <c r="F18" s="303"/>
      <c r="G18" s="303"/>
      <c r="H18" s="303"/>
      <c r="I18" s="303"/>
      <c r="J18" s="303"/>
      <c r="K18" s="304"/>
      <c r="L18" s="305"/>
    </row>
    <row r="19" spans="2:12" x14ac:dyDescent="0.2">
      <c r="B19" s="203">
        <f>B18+0.1</f>
        <v>3.1</v>
      </c>
      <c r="C19" s="204" t="s">
        <v>39</v>
      </c>
      <c r="D19" s="203" t="s">
        <v>38</v>
      </c>
      <c r="E19" s="303">
        <v>85</v>
      </c>
      <c r="F19" s="303">
        <v>85</v>
      </c>
      <c r="G19" s="303">
        <f>F19</f>
        <v>85</v>
      </c>
      <c r="H19" s="303">
        <v>85</v>
      </c>
      <c r="I19" s="303">
        <v>85</v>
      </c>
      <c r="J19" s="303">
        <v>85</v>
      </c>
      <c r="K19" s="304">
        <v>85</v>
      </c>
      <c r="L19" s="305"/>
    </row>
    <row r="20" spans="2:12" x14ac:dyDescent="0.2">
      <c r="B20" s="203">
        <f>B19+0.1</f>
        <v>3.2</v>
      </c>
      <c r="C20" s="204" t="s">
        <v>154</v>
      </c>
      <c r="D20" s="203" t="s">
        <v>38</v>
      </c>
      <c r="E20" s="303"/>
      <c r="F20" s="303">
        <v>65.88</v>
      </c>
      <c r="G20" s="303">
        <f t="shared" ref="G20" si="0">F20</f>
        <v>65.88</v>
      </c>
      <c r="H20" s="303"/>
      <c r="I20" s="303">
        <v>85</v>
      </c>
      <c r="J20" s="303"/>
      <c r="K20" s="304">
        <v>85.03</v>
      </c>
      <c r="L20" s="305"/>
    </row>
    <row r="21" spans="2:12" x14ac:dyDescent="0.2">
      <c r="B21" s="203"/>
      <c r="C21" s="204"/>
      <c r="D21" s="203"/>
      <c r="E21" s="303"/>
      <c r="F21" s="303"/>
      <c r="G21" s="303"/>
      <c r="H21" s="303"/>
      <c r="I21" s="303"/>
      <c r="J21" s="303"/>
      <c r="K21" s="304"/>
      <c r="L21" s="305"/>
    </row>
    <row r="22" spans="2:12" x14ac:dyDescent="0.2">
      <c r="B22" s="203">
        <v>4</v>
      </c>
      <c r="C22" s="204" t="s">
        <v>52</v>
      </c>
      <c r="D22" s="203"/>
      <c r="E22" s="303"/>
      <c r="F22" s="306"/>
      <c r="G22" s="303"/>
      <c r="H22" s="303"/>
      <c r="I22" s="303"/>
      <c r="J22" s="303"/>
      <c r="K22" s="304"/>
      <c r="L22" s="305"/>
    </row>
    <row r="23" spans="2:12" x14ac:dyDescent="0.2">
      <c r="B23" s="203">
        <f>B22+0.1</f>
        <v>4.0999999999999996</v>
      </c>
      <c r="C23" s="204" t="s">
        <v>40</v>
      </c>
      <c r="D23" s="203" t="s">
        <v>41</v>
      </c>
      <c r="E23" s="303"/>
      <c r="F23" s="307">
        <v>2568.9506000000001</v>
      </c>
      <c r="G23" s="307">
        <f>F23</f>
        <v>2568.9506000000001</v>
      </c>
      <c r="H23" s="303"/>
      <c r="I23" s="307">
        <f>'F13'!O23</f>
        <v>2921.38</v>
      </c>
      <c r="J23" s="303"/>
      <c r="K23" s="304">
        <v>3378.12</v>
      </c>
      <c r="L23" s="305"/>
    </row>
    <row r="24" spans="2:12" x14ac:dyDescent="0.2">
      <c r="B24" s="203">
        <f>B23+0.1</f>
        <v>4.1999999999999993</v>
      </c>
      <c r="C24" s="206" t="s">
        <v>155</v>
      </c>
      <c r="D24" s="203" t="s">
        <v>41</v>
      </c>
      <c r="E24" s="306"/>
      <c r="F24" s="307">
        <v>2885.665</v>
      </c>
      <c r="G24" s="307">
        <f>F24</f>
        <v>2885.665</v>
      </c>
      <c r="H24" s="303"/>
      <c r="I24" s="307">
        <v>3243.692</v>
      </c>
      <c r="J24" s="303"/>
      <c r="K24" s="303">
        <v>3724.5</v>
      </c>
      <c r="L24" s="305"/>
    </row>
    <row r="25" spans="2:12" x14ac:dyDescent="0.2">
      <c r="B25" s="203"/>
      <c r="C25" s="206"/>
      <c r="D25" s="203"/>
      <c r="E25" s="303"/>
      <c r="F25" s="303"/>
      <c r="G25" s="308"/>
      <c r="H25" s="303"/>
      <c r="I25" s="303"/>
      <c r="J25" s="303"/>
      <c r="K25" s="304"/>
      <c r="L25" s="305"/>
    </row>
    <row r="26" spans="2:12" x14ac:dyDescent="0.2">
      <c r="B26" s="203">
        <v>5</v>
      </c>
      <c r="C26" s="206" t="s">
        <v>166</v>
      </c>
      <c r="D26" s="203"/>
      <c r="E26" s="303"/>
      <c r="F26" s="303"/>
      <c r="G26" s="309"/>
      <c r="H26" s="303"/>
      <c r="I26" s="303"/>
      <c r="J26" s="303"/>
      <c r="K26" s="304"/>
      <c r="L26" s="305"/>
    </row>
    <row r="27" spans="2:12" ht="30" x14ac:dyDescent="0.2">
      <c r="B27" s="203">
        <f>B26+0.1</f>
        <v>5.0999999999999996</v>
      </c>
      <c r="C27" s="206" t="s">
        <v>42</v>
      </c>
      <c r="D27" s="203" t="s">
        <v>38</v>
      </c>
      <c r="E27" s="303">
        <v>9.3000000000000007</v>
      </c>
      <c r="F27" s="303">
        <v>9.3000000000000007</v>
      </c>
      <c r="G27" s="303">
        <v>9.3000000000000007</v>
      </c>
      <c r="H27" s="303">
        <v>9.3000000000000007</v>
      </c>
      <c r="I27" s="303">
        <v>9.3000000000000007</v>
      </c>
      <c r="J27" s="303">
        <v>9.3000000000000007</v>
      </c>
      <c r="K27" s="304">
        <v>9.3000000000000007</v>
      </c>
      <c r="L27" s="305"/>
    </row>
    <row r="28" spans="2:12" ht="16.5" customHeight="1" x14ac:dyDescent="0.2">
      <c r="B28" s="203">
        <f>B27+0.1</f>
        <v>5.1999999999999993</v>
      </c>
      <c r="C28" s="206" t="s">
        <v>156</v>
      </c>
      <c r="D28" s="203" t="s">
        <v>38</v>
      </c>
      <c r="E28" s="303"/>
      <c r="F28" s="307">
        <f>F29/F24*100</f>
        <v>10.975438936952136</v>
      </c>
      <c r="G28" s="307">
        <f>F28</f>
        <v>10.975438936952136</v>
      </c>
      <c r="H28" s="303"/>
      <c r="I28" s="307">
        <f>I29/I24*100</f>
        <v>9.9365784420962253</v>
      </c>
      <c r="J28" s="303"/>
      <c r="K28" s="304">
        <v>9.3000000000000007</v>
      </c>
      <c r="L28" s="305"/>
    </row>
    <row r="29" spans="2:12" ht="16.5" customHeight="1" x14ac:dyDescent="0.2">
      <c r="B29" s="203">
        <f>B28+0.1</f>
        <v>5.2999999999999989</v>
      </c>
      <c r="C29" s="206" t="s">
        <v>156</v>
      </c>
      <c r="D29" s="203" t="s">
        <v>41</v>
      </c>
      <c r="E29" s="303"/>
      <c r="F29" s="307">
        <f>F24-F30</f>
        <v>316.71439999999984</v>
      </c>
      <c r="G29" s="307">
        <f>F29</f>
        <v>316.71439999999984</v>
      </c>
      <c r="H29" s="303"/>
      <c r="I29" s="307">
        <f>I24-I23</f>
        <v>322.3119999999999</v>
      </c>
      <c r="J29" s="303"/>
      <c r="K29" s="304">
        <f>K24-K23</f>
        <v>346.38000000000011</v>
      </c>
      <c r="L29" s="305"/>
    </row>
    <row r="30" spans="2:12" x14ac:dyDescent="0.2">
      <c r="B30" s="203">
        <f>B29+0.1</f>
        <v>5.3999999999999986</v>
      </c>
      <c r="C30" s="206" t="s">
        <v>43</v>
      </c>
      <c r="D30" s="203" t="s">
        <v>41</v>
      </c>
      <c r="E30" s="307"/>
      <c r="F30" s="307">
        <f>F23</f>
        <v>2568.9506000000001</v>
      </c>
      <c r="G30" s="307">
        <f>F30</f>
        <v>2568.9506000000001</v>
      </c>
      <c r="H30" s="307"/>
      <c r="I30" s="307">
        <f>I23</f>
        <v>2921.38</v>
      </c>
      <c r="J30" s="303"/>
      <c r="K30" s="304">
        <f>K23</f>
        <v>3378.12</v>
      </c>
      <c r="L30" s="305"/>
    </row>
    <row r="31" spans="2:12" x14ac:dyDescent="0.2">
      <c r="B31" s="203"/>
      <c r="C31" s="206"/>
      <c r="D31" s="203"/>
      <c r="E31" s="303"/>
      <c r="F31" s="303"/>
      <c r="G31" s="303"/>
      <c r="H31" s="303"/>
      <c r="I31" s="303"/>
      <c r="J31" s="303"/>
      <c r="K31" s="304"/>
      <c r="L31" s="305"/>
    </row>
    <row r="32" spans="2:12" x14ac:dyDescent="0.2">
      <c r="B32" s="203">
        <v>6</v>
      </c>
      <c r="C32" s="206" t="s">
        <v>200</v>
      </c>
      <c r="D32" s="203"/>
      <c r="E32" s="303"/>
      <c r="F32" s="303"/>
      <c r="G32" s="303"/>
      <c r="H32" s="303"/>
      <c r="I32" s="303"/>
      <c r="J32" s="303"/>
      <c r="K32" s="304"/>
      <c r="L32" s="305"/>
    </row>
    <row r="33" spans="2:12" ht="30" x14ac:dyDescent="0.2">
      <c r="B33" s="203">
        <f>B32+0.1</f>
        <v>6.1</v>
      </c>
      <c r="C33" s="206" t="s">
        <v>44</v>
      </c>
      <c r="D33" s="203" t="s">
        <v>45</v>
      </c>
      <c r="E33" s="303">
        <v>2500</v>
      </c>
      <c r="F33" s="303">
        <v>2500</v>
      </c>
      <c r="G33" s="303">
        <f>F33</f>
        <v>2500</v>
      </c>
      <c r="H33" s="303">
        <v>2500</v>
      </c>
      <c r="I33" s="303">
        <v>2500</v>
      </c>
      <c r="J33" s="303">
        <v>2500</v>
      </c>
      <c r="K33" s="304">
        <v>2500</v>
      </c>
      <c r="L33" s="305"/>
    </row>
    <row r="34" spans="2:12" ht="30" x14ac:dyDescent="0.2">
      <c r="B34" s="203">
        <f>B33+0.1</f>
        <v>6.1999999999999993</v>
      </c>
      <c r="C34" s="204" t="s">
        <v>157</v>
      </c>
      <c r="D34" s="203" t="s">
        <v>45</v>
      </c>
      <c r="E34" s="303"/>
      <c r="F34" s="307">
        <v>2322.4173791760309</v>
      </c>
      <c r="G34" s="307">
        <f>F34</f>
        <v>2322.4173791760309</v>
      </c>
      <c r="H34" s="303"/>
      <c r="I34" s="303">
        <v>2500</v>
      </c>
      <c r="J34" s="303"/>
      <c r="K34" s="304">
        <v>2500</v>
      </c>
      <c r="L34" s="305"/>
    </row>
    <row r="35" spans="2:12" x14ac:dyDescent="0.2">
      <c r="B35" s="203"/>
      <c r="C35" s="204"/>
      <c r="D35" s="203"/>
      <c r="E35" s="303"/>
      <c r="F35" s="303"/>
      <c r="G35" s="303"/>
      <c r="H35" s="303"/>
      <c r="I35" s="303"/>
      <c r="J35" s="303"/>
      <c r="K35" s="304"/>
      <c r="L35" s="305"/>
    </row>
    <row r="36" spans="2:12" x14ac:dyDescent="0.2">
      <c r="B36" s="203">
        <v>7</v>
      </c>
      <c r="C36" s="204" t="s">
        <v>170</v>
      </c>
      <c r="D36" s="203"/>
      <c r="E36" s="303"/>
      <c r="F36" s="303"/>
      <c r="G36" s="303"/>
      <c r="H36" s="303"/>
      <c r="I36" s="303"/>
      <c r="J36" s="303"/>
      <c r="K36" s="304"/>
      <c r="L36" s="305"/>
    </row>
    <row r="37" spans="2:12" ht="30" x14ac:dyDescent="0.2">
      <c r="B37" s="203">
        <f>B36+0.1</f>
        <v>7.1</v>
      </c>
      <c r="C37" s="204" t="s">
        <v>46</v>
      </c>
      <c r="D37" s="203" t="s">
        <v>47</v>
      </c>
      <c r="E37" s="303">
        <v>0.5</v>
      </c>
      <c r="F37" s="303">
        <v>0.5</v>
      </c>
      <c r="G37" s="303">
        <f>F37</f>
        <v>0.5</v>
      </c>
      <c r="H37" s="303">
        <v>0.5</v>
      </c>
      <c r="I37" s="303">
        <v>0.5</v>
      </c>
      <c r="J37" s="303">
        <v>0.5</v>
      </c>
      <c r="K37" s="304">
        <v>0.5</v>
      </c>
      <c r="L37" s="305"/>
    </row>
    <row r="38" spans="2:12" ht="30" x14ac:dyDescent="0.2">
      <c r="B38" s="203">
        <f>B37+0.1</f>
        <v>7.1999999999999993</v>
      </c>
      <c r="C38" s="204" t="s">
        <v>158</v>
      </c>
      <c r="D38" s="203" t="s">
        <v>47</v>
      </c>
      <c r="E38" s="303"/>
      <c r="F38" s="307">
        <v>0.61319730460743027</v>
      </c>
      <c r="G38" s="307">
        <f>F38</f>
        <v>0.61319730460743027</v>
      </c>
      <c r="H38" s="303"/>
      <c r="I38" s="303">
        <v>0.5</v>
      </c>
      <c r="J38" s="303"/>
      <c r="K38" s="304">
        <v>0.5</v>
      </c>
      <c r="L38" s="305"/>
    </row>
    <row r="39" spans="2:12" x14ac:dyDescent="0.2">
      <c r="B39" s="203"/>
      <c r="C39" s="204"/>
      <c r="D39" s="203"/>
      <c r="E39" s="303"/>
      <c r="F39" s="303"/>
      <c r="G39" s="303"/>
      <c r="H39" s="303"/>
      <c r="I39" s="303"/>
      <c r="J39" s="303"/>
      <c r="K39" s="304"/>
      <c r="L39" s="305"/>
    </row>
    <row r="40" spans="2:12" x14ac:dyDescent="0.2">
      <c r="B40" s="203">
        <v>8</v>
      </c>
      <c r="C40" s="204" t="s">
        <v>49</v>
      </c>
      <c r="D40" s="203"/>
      <c r="E40" s="303"/>
      <c r="F40" s="303"/>
      <c r="G40" s="303"/>
      <c r="H40" s="303"/>
      <c r="I40" s="303"/>
      <c r="J40" s="303"/>
      <c r="K40" s="304"/>
      <c r="L40" s="305"/>
    </row>
    <row r="41" spans="2:12" x14ac:dyDescent="0.2">
      <c r="B41" s="203">
        <f>B40+0.1</f>
        <v>8.1</v>
      </c>
      <c r="C41" s="204" t="s">
        <v>48</v>
      </c>
      <c r="D41" s="203" t="s">
        <v>38</v>
      </c>
      <c r="E41" s="303">
        <v>0.8</v>
      </c>
      <c r="F41" s="303">
        <v>0.8</v>
      </c>
      <c r="G41" s="303">
        <f>F41</f>
        <v>0.8</v>
      </c>
      <c r="H41" s="303">
        <v>0.8</v>
      </c>
      <c r="I41" s="303">
        <v>0.8</v>
      </c>
      <c r="J41" s="303">
        <v>0.8</v>
      </c>
      <c r="K41" s="303">
        <v>0.8</v>
      </c>
      <c r="L41" s="305"/>
    </row>
    <row r="42" spans="2:12" x14ac:dyDescent="0.2">
      <c r="B42" s="203">
        <f>B41+0.1</f>
        <v>8.1999999999999993</v>
      </c>
      <c r="C42" s="204" t="s">
        <v>159</v>
      </c>
      <c r="D42" s="203" t="s">
        <v>38</v>
      </c>
      <c r="E42" s="303"/>
      <c r="F42" s="303"/>
      <c r="G42" s="303"/>
      <c r="H42" s="303"/>
      <c r="I42" s="303">
        <v>0.8</v>
      </c>
      <c r="J42" s="303"/>
      <c r="K42" s="303">
        <v>0.8</v>
      </c>
      <c r="L42" s="305"/>
    </row>
    <row r="43" spans="2:12" x14ac:dyDescent="0.2">
      <c r="B43" s="203"/>
      <c r="C43" s="204"/>
      <c r="D43" s="205"/>
      <c r="E43" s="310"/>
      <c r="F43" s="311"/>
      <c r="G43" s="311"/>
      <c r="H43" s="311"/>
      <c r="I43" s="311"/>
      <c r="J43" s="311"/>
      <c r="K43" s="305"/>
      <c r="L43" s="305"/>
    </row>
    <row r="44" spans="2:12" x14ac:dyDescent="0.2">
      <c r="B44" s="38"/>
      <c r="C44" s="85"/>
      <c r="D44" s="151"/>
      <c r="E44" s="151"/>
      <c r="F44" s="38"/>
      <c r="G44" s="38"/>
      <c r="H44" s="38"/>
      <c r="I44" s="38"/>
      <c r="J44" s="38"/>
    </row>
    <row r="45" spans="2:12" ht="17.25" x14ac:dyDescent="0.2">
      <c r="D45" s="61"/>
      <c r="E45" s="61"/>
      <c r="F45" s="152"/>
      <c r="G45" s="152"/>
      <c r="H45" s="152"/>
      <c r="I45" s="152"/>
      <c r="J45" s="152"/>
    </row>
    <row r="46" spans="2:12" ht="17.25" x14ac:dyDescent="0.2">
      <c r="B46" s="36"/>
      <c r="F46" s="152"/>
      <c r="G46" s="152"/>
      <c r="H46" s="152"/>
      <c r="I46" s="152"/>
      <c r="J46" s="152"/>
    </row>
    <row r="47" spans="2:12" ht="17.25" x14ac:dyDescent="0.2">
      <c r="C47" s="24"/>
      <c r="F47" s="152"/>
      <c r="G47" s="152"/>
      <c r="H47" s="152"/>
      <c r="I47" s="152"/>
      <c r="J47" s="152"/>
    </row>
    <row r="48" spans="2:12" x14ac:dyDescent="0.2">
      <c r="F48" s="153"/>
      <c r="G48" s="153"/>
      <c r="H48" s="153"/>
      <c r="I48" s="153"/>
      <c r="J48" s="153"/>
    </row>
  </sheetData>
  <mergeCells count="6">
    <mergeCell ref="L6:L8"/>
    <mergeCell ref="B6:B8"/>
    <mergeCell ref="C6:C8"/>
    <mergeCell ref="D6:D8"/>
    <mergeCell ref="E6:G6"/>
    <mergeCell ref="J6:K6"/>
  </mergeCells>
  <pageMargins left="0.91" right="0.25" top="0.43" bottom="0.63" header="0.5" footer="0.5"/>
  <pageSetup paperSize="9" scale="6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2"/>
  <sheetViews>
    <sheetView showGridLines="0" showWhiteSpace="0" view="pageBreakPreview" topLeftCell="A35" zoomScale="89" zoomScaleNormal="91" zoomScaleSheetLayoutView="89" zoomScalePageLayoutView="48" workbookViewId="0">
      <selection activeCell="C43" sqref="C43"/>
    </sheetView>
  </sheetViews>
  <sheetFormatPr defaultColWidth="9.28515625" defaultRowHeight="15" x14ac:dyDescent="0.2"/>
  <cols>
    <col min="1" max="1" width="2.28515625" style="154" customWidth="1"/>
    <col min="2" max="2" width="6.42578125" style="154" customWidth="1"/>
    <col min="3" max="3" width="53.140625" style="279" customWidth="1"/>
    <col min="4" max="4" width="8.42578125" style="156" customWidth="1"/>
    <col min="5" max="5" width="11.85546875" style="154" bestFit="1" customWidth="1"/>
    <col min="6" max="6" width="13" style="154" customWidth="1"/>
    <col min="7" max="8" width="11.7109375" style="154" customWidth="1"/>
    <col min="9" max="10" width="12.140625" style="154" customWidth="1"/>
    <col min="11" max="11" width="13.28515625" style="154" customWidth="1"/>
    <col min="12" max="12" width="12.85546875" style="154" customWidth="1"/>
    <col min="13" max="13" width="12.42578125" style="154" customWidth="1"/>
    <col min="14" max="14" width="12.140625" style="154" customWidth="1"/>
    <col min="15" max="15" width="11.7109375" style="154" customWidth="1"/>
    <col min="16" max="16" width="12.140625" style="154" customWidth="1"/>
    <col min="17" max="17" width="12" style="154" customWidth="1"/>
    <col min="18" max="18" width="12.5703125" style="154" customWidth="1"/>
    <col min="19" max="19" width="12.28515625" style="154" customWidth="1"/>
    <col min="20" max="20" width="12" style="154" customWidth="1"/>
    <col min="21" max="21" width="12.140625" style="154" customWidth="1"/>
    <col min="22" max="22" width="9.5703125" style="154" bestFit="1" customWidth="1"/>
    <col min="23" max="16384" width="9.28515625" style="154"/>
  </cols>
  <sheetData>
    <row r="2" spans="2:22" ht="14.25" customHeight="1" x14ac:dyDescent="0.2">
      <c r="B2" s="359" t="s">
        <v>394</v>
      </c>
      <c r="C2" s="359"/>
      <c r="D2" s="359"/>
      <c r="E2" s="359"/>
      <c r="F2" s="359"/>
      <c r="G2" s="359"/>
      <c r="H2" s="359"/>
      <c r="I2" s="359"/>
      <c r="J2" s="359"/>
      <c r="K2" s="359"/>
      <c r="L2" s="359"/>
      <c r="M2" s="359"/>
      <c r="N2" s="359"/>
      <c r="O2" s="359"/>
      <c r="P2" s="359"/>
      <c r="Q2" s="359"/>
      <c r="R2" s="359"/>
      <c r="S2" s="359"/>
      <c r="T2" s="359"/>
      <c r="U2" s="359"/>
      <c r="V2" s="359"/>
    </row>
    <row r="3" spans="2:22" ht="14.25" customHeight="1" x14ac:dyDescent="0.2">
      <c r="B3" s="359" t="s">
        <v>397</v>
      </c>
      <c r="C3" s="359"/>
      <c r="D3" s="359"/>
      <c r="E3" s="359"/>
      <c r="F3" s="359"/>
      <c r="G3" s="359"/>
      <c r="H3" s="359"/>
      <c r="I3" s="359"/>
      <c r="J3" s="359"/>
      <c r="K3" s="359"/>
      <c r="L3" s="359"/>
      <c r="M3" s="359"/>
      <c r="N3" s="359"/>
      <c r="O3" s="359"/>
      <c r="P3" s="359"/>
      <c r="Q3" s="359"/>
      <c r="R3" s="359"/>
      <c r="S3" s="359"/>
      <c r="T3" s="359"/>
      <c r="U3" s="359"/>
      <c r="V3" s="359"/>
    </row>
    <row r="4" spans="2:22" ht="14.25" customHeight="1" x14ac:dyDescent="0.2">
      <c r="B4" s="359" t="s">
        <v>336</v>
      </c>
      <c r="C4" s="359"/>
      <c r="D4" s="359"/>
      <c r="E4" s="359"/>
      <c r="F4" s="359"/>
      <c r="G4" s="359"/>
      <c r="H4" s="359"/>
      <c r="I4" s="359"/>
      <c r="J4" s="359"/>
      <c r="K4" s="359"/>
      <c r="L4" s="359"/>
      <c r="M4" s="359"/>
      <c r="N4" s="359"/>
      <c r="O4" s="359"/>
      <c r="P4" s="359"/>
      <c r="Q4" s="359"/>
      <c r="R4" s="359"/>
      <c r="S4" s="359"/>
      <c r="T4" s="359"/>
      <c r="U4" s="359"/>
      <c r="V4" s="359"/>
    </row>
    <row r="6" spans="2:22" ht="15.75" x14ac:dyDescent="0.2">
      <c r="B6" s="360" t="s">
        <v>188</v>
      </c>
      <c r="C6" s="361" t="s">
        <v>14</v>
      </c>
      <c r="D6" s="360" t="s">
        <v>35</v>
      </c>
      <c r="E6" s="360" t="s">
        <v>395</v>
      </c>
      <c r="F6" s="360"/>
      <c r="G6" s="360"/>
      <c r="H6" s="360"/>
      <c r="I6" s="360"/>
      <c r="J6" s="360"/>
      <c r="K6" s="360"/>
      <c r="L6" s="360"/>
      <c r="M6" s="360"/>
      <c r="N6" s="360"/>
      <c r="O6" s="360"/>
      <c r="P6" s="360"/>
      <c r="Q6" s="360" t="s">
        <v>396</v>
      </c>
      <c r="R6" s="360"/>
      <c r="S6" s="360"/>
      <c r="T6" s="360"/>
      <c r="U6" s="360"/>
      <c r="V6" s="360"/>
    </row>
    <row r="7" spans="2:22" ht="15.75" x14ac:dyDescent="0.2">
      <c r="B7" s="360"/>
      <c r="C7" s="361"/>
      <c r="D7" s="360"/>
      <c r="E7" s="155" t="s">
        <v>137</v>
      </c>
      <c r="F7" s="155" t="s">
        <v>138</v>
      </c>
      <c r="G7" s="155" t="s">
        <v>139</v>
      </c>
      <c r="H7" s="155" t="s">
        <v>140</v>
      </c>
      <c r="I7" s="155" t="s">
        <v>141</v>
      </c>
      <c r="J7" s="155" t="s">
        <v>142</v>
      </c>
      <c r="K7" s="155" t="s">
        <v>143</v>
      </c>
      <c r="L7" s="155" t="s">
        <v>144</v>
      </c>
      <c r="M7" s="155" t="s">
        <v>145</v>
      </c>
      <c r="N7" s="155" t="s">
        <v>146</v>
      </c>
      <c r="O7" s="155" t="s">
        <v>147</v>
      </c>
      <c r="P7" s="155" t="s">
        <v>148</v>
      </c>
      <c r="Q7" s="155" t="s">
        <v>137</v>
      </c>
      <c r="R7" s="155" t="s">
        <v>138</v>
      </c>
      <c r="S7" s="155" t="s">
        <v>139</v>
      </c>
      <c r="T7" s="155" t="s">
        <v>140</v>
      </c>
      <c r="U7" s="155" t="s">
        <v>141</v>
      </c>
      <c r="V7" s="155" t="s">
        <v>142</v>
      </c>
    </row>
    <row r="8" spans="2:22" ht="15.75" x14ac:dyDescent="0.2">
      <c r="B8" s="155" t="s">
        <v>63</v>
      </c>
      <c r="C8" s="184" t="s">
        <v>292</v>
      </c>
      <c r="E8" s="157"/>
      <c r="F8" s="157"/>
      <c r="G8" s="157"/>
      <c r="H8" s="157"/>
      <c r="I8" s="157"/>
      <c r="J8" s="157"/>
      <c r="K8" s="157"/>
      <c r="L8" s="157"/>
      <c r="M8" s="157"/>
      <c r="N8" s="157"/>
      <c r="O8" s="157"/>
      <c r="P8" s="157"/>
      <c r="Q8" s="157"/>
      <c r="R8" s="157"/>
      <c r="S8" s="157"/>
      <c r="T8" s="157"/>
      <c r="U8" s="157"/>
      <c r="V8" s="157"/>
    </row>
    <row r="9" spans="2:22" x14ac:dyDescent="0.2">
      <c r="B9" s="158">
        <v>1</v>
      </c>
      <c r="C9" s="162" t="s">
        <v>293</v>
      </c>
      <c r="D9" s="158" t="s">
        <v>295</v>
      </c>
      <c r="E9" s="180">
        <v>126748.35282840669</v>
      </c>
      <c r="F9" s="180">
        <v>103464.00282840664</v>
      </c>
      <c r="G9" s="180">
        <v>122175.06282840658</v>
      </c>
      <c r="H9" s="180">
        <v>263943.26282840659</v>
      </c>
      <c r="I9" s="180">
        <v>177671.61282840656</v>
      </c>
      <c r="J9" s="180">
        <v>139003.70282840659</v>
      </c>
      <c r="K9" s="180">
        <v>211297.59</v>
      </c>
      <c r="L9" s="180">
        <v>211274.3428284066</v>
      </c>
      <c r="M9" s="180">
        <v>291341.00282840664</v>
      </c>
      <c r="N9" s="180">
        <v>294187.80282840662</v>
      </c>
      <c r="O9" s="180">
        <v>290543.00282840664</v>
      </c>
      <c r="P9" s="180">
        <v>272257.98282840662</v>
      </c>
      <c r="Q9" s="180">
        <v>301566.4628284066</v>
      </c>
      <c r="R9" s="180">
        <v>220254.48282840662</v>
      </c>
      <c r="S9" s="180">
        <v>236490.94282840658</v>
      </c>
      <c r="T9" s="180">
        <v>327107.51282840659</v>
      </c>
      <c r="U9" s="180">
        <v>295087.4028284066</v>
      </c>
      <c r="V9" s="181">
        <v>182119.26282840659</v>
      </c>
    </row>
    <row r="10" spans="2:22" x14ac:dyDescent="0.2">
      <c r="B10" s="158">
        <f>B9+1</f>
        <v>2</v>
      </c>
      <c r="C10" s="162" t="s">
        <v>294</v>
      </c>
      <c r="D10" s="158" t="s">
        <v>296</v>
      </c>
      <c r="E10" s="180">
        <v>57.978424720950187</v>
      </c>
      <c r="F10" s="180">
        <v>49.416931962343725</v>
      </c>
      <c r="G10" s="180">
        <v>57.304229612901651</v>
      </c>
      <c r="H10" s="180">
        <v>118.92877592198215</v>
      </c>
      <c r="I10" s="180">
        <v>79.61279490751609</v>
      </c>
      <c r="J10" s="180">
        <v>61.194438249853121</v>
      </c>
      <c r="K10" s="180">
        <v>91.122900000000001</v>
      </c>
      <c r="L10" s="182">
        <v>91.165389655709532</v>
      </c>
      <c r="M10" s="180">
        <v>124.52061601349573</v>
      </c>
      <c r="N10" s="182">
        <v>128.04859025285927</v>
      </c>
      <c r="O10" s="182">
        <v>124.96101383086412</v>
      </c>
      <c r="P10" s="180">
        <v>118.06162368415649</v>
      </c>
      <c r="Q10" s="180">
        <v>131.02208791083007</v>
      </c>
      <c r="R10" s="180">
        <v>94.90061131510015</v>
      </c>
      <c r="S10" s="180">
        <v>100.49690736035544</v>
      </c>
      <c r="T10" s="180">
        <v>140.80689859477013</v>
      </c>
      <c r="U10" s="180">
        <v>128.32509065791263</v>
      </c>
      <c r="V10" s="180">
        <v>78.818360861996467</v>
      </c>
    </row>
    <row r="11" spans="2:22" ht="15.75" x14ac:dyDescent="0.2">
      <c r="B11" s="155" t="s">
        <v>67</v>
      </c>
      <c r="C11" s="184" t="s">
        <v>297</v>
      </c>
      <c r="D11" s="158"/>
      <c r="E11" s="180"/>
      <c r="F11" s="180"/>
      <c r="G11" s="180"/>
      <c r="H11" s="180"/>
      <c r="I11" s="180"/>
      <c r="J11" s="180"/>
      <c r="K11" s="180"/>
      <c r="L11" s="180"/>
      <c r="M11" s="180"/>
      <c r="N11" s="180"/>
      <c r="O11" s="180"/>
      <c r="P11" s="180"/>
      <c r="Q11" s="180"/>
      <c r="R11" s="180"/>
      <c r="S11" s="180"/>
      <c r="T11" s="180"/>
      <c r="U11" s="180"/>
      <c r="V11" s="183"/>
    </row>
    <row r="12" spans="2:22" x14ac:dyDescent="0.2">
      <c r="B12" s="158">
        <f>B10+1</f>
        <v>3</v>
      </c>
      <c r="C12" s="162" t="s">
        <v>298</v>
      </c>
      <c r="D12" s="158" t="s">
        <v>295</v>
      </c>
      <c r="E12" s="180">
        <v>184765.38</v>
      </c>
      <c r="F12" s="180">
        <v>240582.90000000002</v>
      </c>
      <c r="G12" s="180">
        <v>306162.43</v>
      </c>
      <c r="H12" s="180">
        <v>42087.98</v>
      </c>
      <c r="I12" s="180">
        <v>103965.38</v>
      </c>
      <c r="J12" s="180">
        <v>219799.07999999996</v>
      </c>
      <c r="K12" s="180">
        <v>234441.58</v>
      </c>
      <c r="L12" s="180">
        <v>288245.59999999998</v>
      </c>
      <c r="M12" s="180">
        <v>229047.19999999998</v>
      </c>
      <c r="N12" s="180">
        <v>222021.14</v>
      </c>
      <c r="O12" s="180">
        <v>185646.03999999998</v>
      </c>
      <c r="P12" s="180">
        <v>272712.40000000002</v>
      </c>
      <c r="Q12" s="180">
        <v>154357.06</v>
      </c>
      <c r="R12" s="180">
        <v>274201.8</v>
      </c>
      <c r="S12" s="180">
        <v>215853.58</v>
      </c>
      <c r="T12" s="180">
        <v>141671.35999999999</v>
      </c>
      <c r="U12" s="180">
        <v>49310.1</v>
      </c>
      <c r="V12" s="181">
        <v>124265.14000000001</v>
      </c>
    </row>
    <row r="13" spans="2:22" ht="30" x14ac:dyDescent="0.2">
      <c r="B13" s="158">
        <f>B12+1</f>
        <v>4</v>
      </c>
      <c r="C13" s="162" t="s">
        <v>388</v>
      </c>
      <c r="D13" s="158" t="s">
        <v>295</v>
      </c>
      <c r="E13" s="180"/>
      <c r="F13" s="180"/>
      <c r="G13" s="180"/>
      <c r="H13" s="180"/>
      <c r="I13" s="180"/>
      <c r="J13" s="180"/>
      <c r="K13" s="180"/>
      <c r="L13" s="180"/>
      <c r="M13" s="180"/>
      <c r="N13" s="180"/>
      <c r="O13" s="180"/>
      <c r="P13" s="180"/>
      <c r="Q13" s="180"/>
      <c r="R13" s="180"/>
      <c r="S13" s="180"/>
      <c r="T13" s="180"/>
      <c r="U13" s="180"/>
      <c r="V13" s="183"/>
    </row>
    <row r="14" spans="2:22" ht="15.75" x14ac:dyDescent="0.2">
      <c r="B14" s="158">
        <f>B13+1</f>
        <v>5</v>
      </c>
      <c r="C14" s="162" t="s">
        <v>299</v>
      </c>
      <c r="D14" s="158" t="s">
        <v>295</v>
      </c>
      <c r="E14" s="160">
        <f>E12+E13</f>
        <v>184765.38</v>
      </c>
      <c r="F14" s="160">
        <f t="shared" ref="F14:V14" si="0">F12+F13</f>
        <v>240582.90000000002</v>
      </c>
      <c r="G14" s="160">
        <f t="shared" si="0"/>
        <v>306162.43</v>
      </c>
      <c r="H14" s="160">
        <f t="shared" si="0"/>
        <v>42087.98</v>
      </c>
      <c r="I14" s="160">
        <f t="shared" si="0"/>
        <v>103965.38</v>
      </c>
      <c r="J14" s="160">
        <f t="shared" si="0"/>
        <v>219799.07999999996</v>
      </c>
      <c r="K14" s="160">
        <f t="shared" si="0"/>
        <v>234441.58</v>
      </c>
      <c r="L14" s="160">
        <f t="shared" si="0"/>
        <v>288245.59999999998</v>
      </c>
      <c r="M14" s="160">
        <f t="shared" si="0"/>
        <v>229047.19999999998</v>
      </c>
      <c r="N14" s="160">
        <f t="shared" si="0"/>
        <v>222021.14</v>
      </c>
      <c r="O14" s="160">
        <f t="shared" si="0"/>
        <v>185646.03999999998</v>
      </c>
      <c r="P14" s="160">
        <f t="shared" si="0"/>
        <v>272712.40000000002</v>
      </c>
      <c r="Q14" s="160">
        <f t="shared" si="0"/>
        <v>154357.06</v>
      </c>
      <c r="R14" s="160">
        <f t="shared" si="0"/>
        <v>274201.8</v>
      </c>
      <c r="S14" s="160">
        <f t="shared" si="0"/>
        <v>215853.58</v>
      </c>
      <c r="T14" s="160">
        <f t="shared" si="0"/>
        <v>141671.35999999999</v>
      </c>
      <c r="U14" s="160">
        <f t="shared" si="0"/>
        <v>49310.1</v>
      </c>
      <c r="V14" s="160">
        <f t="shared" si="0"/>
        <v>124265.14000000001</v>
      </c>
    </row>
    <row r="15" spans="2:22" x14ac:dyDescent="0.2">
      <c r="B15" s="158">
        <f>B14+1</f>
        <v>6</v>
      </c>
      <c r="C15" s="162" t="s">
        <v>300</v>
      </c>
      <c r="D15" s="158" t="s">
        <v>295</v>
      </c>
      <c r="E15" s="180">
        <v>1478.1230400000059</v>
      </c>
      <c r="F15" s="180">
        <v>1924.66320000001</v>
      </c>
      <c r="G15" s="180">
        <v>2449.2994399999734</v>
      </c>
      <c r="H15" s="180">
        <v>336.70384000000195</v>
      </c>
      <c r="I15" s="180">
        <v>831.72303999999713</v>
      </c>
      <c r="J15" s="180">
        <v>1758.3926400000055</v>
      </c>
      <c r="K15" s="180">
        <v>1875.53</v>
      </c>
      <c r="L15" s="180">
        <v>2305.9648000000161</v>
      </c>
      <c r="M15" s="180">
        <v>1832.3776000000071</v>
      </c>
      <c r="N15" s="182">
        <v>1776.1691200000059</v>
      </c>
      <c r="O15" s="180">
        <v>1485.168319999997</v>
      </c>
      <c r="P15" s="180">
        <v>2181.6991999999736</v>
      </c>
      <c r="Q15" s="180">
        <v>1234.8564799999876</v>
      </c>
      <c r="R15" s="180">
        <v>2193.6144000000204</v>
      </c>
      <c r="S15" s="180">
        <v>1726.8286399999924</v>
      </c>
      <c r="T15" s="180">
        <v>1133.3708800000022</v>
      </c>
      <c r="U15" s="180">
        <v>394.48079999999754</v>
      </c>
      <c r="V15" s="181">
        <v>994.12111999999615</v>
      </c>
    </row>
    <row r="16" spans="2:22" ht="15.75" x14ac:dyDescent="0.2">
      <c r="B16" s="158">
        <f>B15+1</f>
        <v>7</v>
      </c>
      <c r="C16" s="162" t="s">
        <v>301</v>
      </c>
      <c r="D16" s="158" t="s">
        <v>295</v>
      </c>
      <c r="E16" s="160">
        <f>E14-E15</f>
        <v>183287.25696</v>
      </c>
      <c r="F16" s="160">
        <f t="shared" ref="F16:V16" si="1">F14-F15</f>
        <v>238658.23680000001</v>
      </c>
      <c r="G16" s="160">
        <f t="shared" si="1"/>
        <v>303713.13056000002</v>
      </c>
      <c r="H16" s="160">
        <f t="shared" si="1"/>
        <v>41751.276160000001</v>
      </c>
      <c r="I16" s="160">
        <f t="shared" si="1"/>
        <v>103133.65696000001</v>
      </c>
      <c r="J16" s="160">
        <f t="shared" si="1"/>
        <v>218040.68735999995</v>
      </c>
      <c r="K16" s="160">
        <f t="shared" si="1"/>
        <v>232566.05</v>
      </c>
      <c r="L16" s="160">
        <f t="shared" si="1"/>
        <v>285939.63519999996</v>
      </c>
      <c r="M16" s="160">
        <f t="shared" si="1"/>
        <v>227214.82239999998</v>
      </c>
      <c r="N16" s="160">
        <f t="shared" si="1"/>
        <v>220244.97088000001</v>
      </c>
      <c r="O16" s="160">
        <f t="shared" si="1"/>
        <v>184160.87167999998</v>
      </c>
      <c r="P16" s="160">
        <f t="shared" si="1"/>
        <v>270530.70080000005</v>
      </c>
      <c r="Q16" s="160">
        <f t="shared" si="1"/>
        <v>153122.20352000001</v>
      </c>
      <c r="R16" s="160">
        <f t="shared" si="1"/>
        <v>272008.18559999997</v>
      </c>
      <c r="S16" s="160">
        <f t="shared" si="1"/>
        <v>214126.75135999999</v>
      </c>
      <c r="T16" s="160">
        <f t="shared" si="1"/>
        <v>140537.98911999998</v>
      </c>
      <c r="U16" s="160">
        <f t="shared" si="1"/>
        <v>48915.619200000001</v>
      </c>
      <c r="V16" s="160">
        <f t="shared" si="1"/>
        <v>123271.01888000002</v>
      </c>
    </row>
    <row r="17" spans="2:22" ht="15.75" x14ac:dyDescent="0.2">
      <c r="B17" s="155" t="s">
        <v>68</v>
      </c>
      <c r="C17" s="184" t="s">
        <v>302</v>
      </c>
      <c r="D17" s="158"/>
      <c r="E17" s="157"/>
      <c r="F17" s="157"/>
      <c r="G17" s="157"/>
      <c r="H17" s="157"/>
      <c r="I17" s="157"/>
      <c r="J17" s="157"/>
      <c r="K17" s="157"/>
      <c r="L17" s="157"/>
      <c r="M17" s="157"/>
      <c r="N17" s="157"/>
      <c r="O17" s="157"/>
      <c r="P17" s="157"/>
      <c r="Q17" s="157"/>
      <c r="R17" s="157"/>
      <c r="S17" s="157"/>
      <c r="T17" s="157"/>
      <c r="U17" s="157"/>
      <c r="V17" s="157"/>
    </row>
    <row r="18" spans="2:22" x14ac:dyDescent="0.2">
      <c r="B18" s="158">
        <f>B16+1</f>
        <v>8</v>
      </c>
      <c r="C18" s="162" t="s">
        <v>303</v>
      </c>
      <c r="D18" s="158" t="s">
        <v>296</v>
      </c>
      <c r="E18" s="180">
        <v>80.666515985000004</v>
      </c>
      <c r="F18" s="180">
        <v>99.060040604000008</v>
      </c>
      <c r="G18" s="180">
        <v>122.684873921</v>
      </c>
      <c r="H18" s="180">
        <v>17.005087709000001</v>
      </c>
      <c r="I18" s="180">
        <v>43.268599999999999</v>
      </c>
      <c r="J18" s="180">
        <v>93.736059585999996</v>
      </c>
      <c r="K18" s="180">
        <v>97.123400000000004</v>
      </c>
      <c r="L18" s="180">
        <v>117.46957554400001</v>
      </c>
      <c r="M18" s="180">
        <v>92.917190199999993</v>
      </c>
      <c r="N18" s="182">
        <v>88.483300398999987</v>
      </c>
      <c r="O18" s="180">
        <v>75.814422205999989</v>
      </c>
      <c r="P18" s="180">
        <v>110.206642798</v>
      </c>
      <c r="Q18" s="180">
        <v>61.626229852000002</v>
      </c>
      <c r="R18" s="180">
        <v>109.03104977600002</v>
      </c>
      <c r="S18" s="180">
        <v>89.568402945999978</v>
      </c>
      <c r="T18" s="180">
        <v>59.099221132395009</v>
      </c>
      <c r="U18" s="180">
        <v>20.753944021000002</v>
      </c>
      <c r="V18" s="180">
        <v>41.976908836</v>
      </c>
    </row>
    <row r="19" spans="2:22" ht="30" x14ac:dyDescent="0.2">
      <c r="B19" s="158">
        <f>B18+1</f>
        <v>9</v>
      </c>
      <c r="C19" s="162" t="s">
        <v>304</v>
      </c>
      <c r="D19" s="158" t="s">
        <v>296</v>
      </c>
      <c r="E19" s="180">
        <v>5.1075229984232005</v>
      </c>
      <c r="F19" s="180">
        <v>5.8794389824464002</v>
      </c>
      <c r="G19" s="180">
        <v>4.8142283111580007</v>
      </c>
      <c r="H19" s="180">
        <v>-7.5759886132000021E-2</v>
      </c>
      <c r="I19" s="180">
        <v>-1.8816407788152001</v>
      </c>
      <c r="J19" s="180">
        <v>-6.3423712709815998</v>
      </c>
      <c r="K19" s="180">
        <v>-2.3576000000000001</v>
      </c>
      <c r="L19" s="180">
        <v>-2.9591036995295998</v>
      </c>
      <c r="M19" s="180">
        <v>2.8568071113960003</v>
      </c>
      <c r="N19" s="182">
        <v>-0.83343825339600019</v>
      </c>
      <c r="O19" s="180">
        <v>0.18947906107279994</v>
      </c>
      <c r="P19" s="180">
        <v>1.0080971912543994</v>
      </c>
      <c r="Q19" s="180">
        <v>-0.3958774032823999</v>
      </c>
      <c r="R19" s="180">
        <v>-1.1115209280336</v>
      </c>
      <c r="S19" s="180">
        <v>-1.1756220048552002</v>
      </c>
      <c r="T19" s="180">
        <v>-0.10233786538079977</v>
      </c>
      <c r="U19" s="180">
        <v>-1.8929246204751997</v>
      </c>
      <c r="V19" s="180">
        <v>-1.7394136412287999</v>
      </c>
    </row>
    <row r="20" spans="2:22" x14ac:dyDescent="0.2">
      <c r="B20" s="158">
        <f>B19+1</f>
        <v>10</v>
      </c>
      <c r="C20" s="162" t="s">
        <v>305</v>
      </c>
      <c r="D20" s="158" t="s">
        <v>296</v>
      </c>
      <c r="E20" s="180">
        <v>0.13743810200000001</v>
      </c>
      <c r="F20" s="180">
        <v>0.16910498899999998</v>
      </c>
      <c r="G20" s="180">
        <v>0.15159514499999999</v>
      </c>
      <c r="H20" s="180">
        <v>0.16586894899999999</v>
      </c>
      <c r="I20" s="180">
        <v>0.26294908300000003</v>
      </c>
      <c r="J20" s="180">
        <v>0.16476353699999999</v>
      </c>
      <c r="K20" s="180">
        <v>0.30990000000000001</v>
      </c>
      <c r="L20" s="180">
        <v>0.29856622199999999</v>
      </c>
      <c r="M20" s="180">
        <v>0.21801279600000001</v>
      </c>
      <c r="N20" s="182">
        <v>0.5210482970000001</v>
      </c>
      <c r="O20" s="180">
        <v>0.67108742349999995</v>
      </c>
      <c r="P20" s="180">
        <v>0.36491730899999997</v>
      </c>
      <c r="Q20" s="180">
        <v>0.15668205300000002</v>
      </c>
      <c r="R20" s="180">
        <v>0.148145101</v>
      </c>
      <c r="S20" s="180">
        <v>0.187997622</v>
      </c>
      <c r="T20" s="180">
        <v>0.34878884599999999</v>
      </c>
      <c r="U20" s="180">
        <v>0.57483931100000007</v>
      </c>
      <c r="V20" s="180">
        <v>0.16730123400000002</v>
      </c>
    </row>
    <row r="21" spans="2:22" ht="15.75" x14ac:dyDescent="0.2">
      <c r="B21" s="158">
        <f>B20+1</f>
        <v>11</v>
      </c>
      <c r="C21" s="162" t="s">
        <v>306</v>
      </c>
      <c r="D21" s="158" t="s">
        <v>296</v>
      </c>
      <c r="E21" s="161">
        <f>E18+E19+E20</f>
        <v>85.911477085423215</v>
      </c>
      <c r="F21" s="161">
        <f t="shared" ref="F21:V21" si="2">F18+F19+F20</f>
        <v>105.10858457544641</v>
      </c>
      <c r="G21" s="161">
        <f t="shared" si="2"/>
        <v>127.65069737715801</v>
      </c>
      <c r="H21" s="161">
        <f t="shared" si="2"/>
        <v>17.095196771868</v>
      </c>
      <c r="I21" s="161">
        <f t="shared" si="2"/>
        <v>41.649908304184798</v>
      </c>
      <c r="J21" s="161">
        <f t="shared" si="2"/>
        <v>87.558451852018393</v>
      </c>
      <c r="K21" s="161">
        <f t="shared" si="2"/>
        <v>95.075699999999998</v>
      </c>
      <c r="L21" s="161">
        <f t="shared" si="2"/>
        <v>114.80903806647041</v>
      </c>
      <c r="M21" s="161">
        <f t="shared" si="2"/>
        <v>95.992010107395984</v>
      </c>
      <c r="N21" s="161">
        <f t="shared" si="2"/>
        <v>88.170910442603997</v>
      </c>
      <c r="O21" s="161">
        <f t="shared" si="2"/>
        <v>76.674988690572789</v>
      </c>
      <c r="P21" s="161">
        <f t="shared" si="2"/>
        <v>111.5796572982544</v>
      </c>
      <c r="Q21" s="161">
        <f t="shared" si="2"/>
        <v>61.387034501717601</v>
      </c>
      <c r="R21" s="161">
        <f t="shared" si="2"/>
        <v>108.06767394896642</v>
      </c>
      <c r="S21" s="161">
        <f t="shared" si="2"/>
        <v>88.580778563144776</v>
      </c>
      <c r="T21" s="161">
        <f t="shared" si="2"/>
        <v>59.34567211301421</v>
      </c>
      <c r="U21" s="161">
        <f t="shared" si="2"/>
        <v>19.435858711524805</v>
      </c>
      <c r="V21" s="161">
        <f t="shared" si="2"/>
        <v>40.404796428771199</v>
      </c>
    </row>
    <row r="22" spans="2:22" ht="15.75" x14ac:dyDescent="0.2">
      <c r="B22" s="155" t="s">
        <v>307</v>
      </c>
      <c r="C22" s="184" t="s">
        <v>308</v>
      </c>
      <c r="D22" s="158"/>
      <c r="E22" s="157"/>
      <c r="F22" s="157"/>
      <c r="G22" s="157"/>
      <c r="H22" s="157"/>
      <c r="I22" s="157"/>
      <c r="J22" s="157"/>
      <c r="K22" s="157"/>
      <c r="L22" s="157"/>
      <c r="M22" s="157"/>
      <c r="N22" s="157"/>
      <c r="O22" s="157"/>
      <c r="P22" s="157"/>
      <c r="Q22" s="157"/>
      <c r="R22" s="157"/>
      <c r="S22" s="157"/>
      <c r="T22" s="157"/>
      <c r="U22" s="157"/>
      <c r="V22" s="157"/>
    </row>
    <row r="23" spans="2:22" x14ac:dyDescent="0.2">
      <c r="B23" s="158">
        <f>B21+1</f>
        <v>12</v>
      </c>
      <c r="C23" s="162" t="s">
        <v>309</v>
      </c>
      <c r="D23" s="158"/>
      <c r="E23" s="157"/>
      <c r="F23" s="157"/>
      <c r="G23" s="157"/>
      <c r="H23" s="157"/>
      <c r="I23" s="157"/>
      <c r="J23" s="157"/>
      <c r="K23" s="157"/>
      <c r="L23" s="157"/>
      <c r="M23" s="157"/>
      <c r="N23" s="157"/>
      <c r="O23" s="157"/>
      <c r="P23" s="157"/>
      <c r="Q23" s="157"/>
      <c r="R23" s="157"/>
      <c r="S23" s="157"/>
      <c r="T23" s="157"/>
      <c r="U23" s="157"/>
      <c r="V23" s="157"/>
    </row>
    <row r="24" spans="2:22" x14ac:dyDescent="0.2">
      <c r="B24" s="158"/>
      <c r="C24" s="162" t="s">
        <v>310</v>
      </c>
      <c r="D24" s="158" t="s">
        <v>296</v>
      </c>
      <c r="E24" s="180">
        <v>4.1906693680000009</v>
      </c>
      <c r="F24" s="180">
        <v>5.9413653404000017</v>
      </c>
      <c r="G24" s="180">
        <v>6.9437446280000001</v>
      </c>
      <c r="H24" s="180">
        <v>0.95455893200000008</v>
      </c>
      <c r="I24" s="180">
        <v>2.3579375040000001</v>
      </c>
      <c r="J24" s="180">
        <v>5.2237950202000007</v>
      </c>
      <c r="K24" s="180">
        <v>5.3296999999999999</v>
      </c>
      <c r="L24" s="180">
        <v>6.5373376440000008</v>
      </c>
      <c r="M24" s="180">
        <v>5.1947001160000008</v>
      </c>
      <c r="N24" s="180">
        <v>5.0353232880000007</v>
      </c>
      <c r="O24" s="180">
        <v>4.2140137440000007</v>
      </c>
      <c r="P24" s="180">
        <v>6.1850305920000013</v>
      </c>
      <c r="Q24" s="180">
        <v>3.5016796760000006</v>
      </c>
      <c r="R24" s="180">
        <v>6.2189047160000008</v>
      </c>
      <c r="S24" s="180">
        <v>4.8954803360000003</v>
      </c>
      <c r="T24" s="180">
        <v>3.2131130120000004</v>
      </c>
      <c r="U24" s="180">
        <v>1.1181637280000001</v>
      </c>
      <c r="V24" s="183">
        <v>2.8183372320000002</v>
      </c>
    </row>
    <row r="25" spans="2:22" x14ac:dyDescent="0.2">
      <c r="B25" s="158"/>
      <c r="C25" s="162" t="s">
        <v>311</v>
      </c>
      <c r="D25" s="158" t="s">
        <v>296</v>
      </c>
      <c r="E25" s="157"/>
      <c r="F25" s="157"/>
      <c r="G25" s="157"/>
      <c r="H25" s="157"/>
      <c r="I25" s="157"/>
      <c r="J25" s="157"/>
      <c r="K25" s="157"/>
      <c r="L25" s="157"/>
      <c r="M25" s="157"/>
      <c r="N25" s="157"/>
      <c r="O25" s="157"/>
      <c r="P25" s="157"/>
      <c r="Q25" s="157"/>
      <c r="R25" s="157"/>
      <c r="S25" s="157"/>
      <c r="T25" s="157"/>
      <c r="U25" s="157"/>
      <c r="V25" s="157"/>
    </row>
    <row r="26" spans="2:22" x14ac:dyDescent="0.2">
      <c r="B26" s="158"/>
      <c r="C26" s="162" t="s">
        <v>312</v>
      </c>
      <c r="D26" s="158" t="s">
        <v>296</v>
      </c>
      <c r="E26" s="157"/>
      <c r="F26" s="157"/>
      <c r="G26" s="157"/>
      <c r="H26" s="157"/>
      <c r="I26" s="157"/>
      <c r="J26" s="157"/>
      <c r="K26" s="157"/>
      <c r="L26" s="157"/>
      <c r="M26" s="157"/>
      <c r="N26" s="157"/>
      <c r="O26" s="157"/>
      <c r="P26" s="157"/>
      <c r="Q26" s="157"/>
      <c r="R26" s="157"/>
      <c r="S26" s="157"/>
      <c r="T26" s="157"/>
      <c r="U26" s="157"/>
      <c r="V26" s="157"/>
    </row>
    <row r="27" spans="2:22" x14ac:dyDescent="0.2">
      <c r="B27" s="158"/>
      <c r="C27" s="162" t="s">
        <v>9</v>
      </c>
      <c r="D27" s="158" t="s">
        <v>296</v>
      </c>
      <c r="E27" s="157"/>
      <c r="F27" s="157"/>
      <c r="G27" s="157"/>
      <c r="H27" s="157"/>
      <c r="I27" s="157"/>
      <c r="J27" s="157"/>
      <c r="K27" s="157"/>
      <c r="L27" s="157"/>
      <c r="M27" s="157"/>
      <c r="N27" s="157"/>
      <c r="O27" s="157"/>
      <c r="P27" s="157"/>
      <c r="Q27" s="157"/>
      <c r="R27" s="157"/>
      <c r="S27" s="157"/>
      <c r="T27" s="157"/>
      <c r="U27" s="157"/>
      <c r="V27" s="157"/>
    </row>
    <row r="28" spans="2:22" ht="30" x14ac:dyDescent="0.2">
      <c r="B28" s="158">
        <f>B23+1</f>
        <v>13</v>
      </c>
      <c r="C28" s="162" t="s">
        <v>313</v>
      </c>
      <c r="D28" s="158" t="s">
        <v>296</v>
      </c>
      <c r="E28" s="157"/>
      <c r="F28" s="157"/>
      <c r="G28" s="157"/>
      <c r="H28" s="157"/>
      <c r="I28" s="157"/>
      <c r="J28" s="157"/>
      <c r="K28" s="157"/>
      <c r="L28" s="157"/>
      <c r="M28" s="157"/>
      <c r="N28" s="157"/>
      <c r="O28" s="157"/>
      <c r="P28" s="157"/>
      <c r="Q28" s="157"/>
      <c r="R28" s="157"/>
      <c r="S28" s="157"/>
      <c r="T28" s="157"/>
      <c r="U28" s="157"/>
      <c r="V28" s="157"/>
    </row>
    <row r="29" spans="2:22" x14ac:dyDescent="0.2">
      <c r="B29" s="158">
        <f>B28+1</f>
        <v>14</v>
      </c>
      <c r="C29" s="162" t="s">
        <v>314</v>
      </c>
      <c r="D29" s="158" t="s">
        <v>296</v>
      </c>
      <c r="E29" s="157"/>
      <c r="F29" s="157"/>
      <c r="G29" s="157"/>
      <c r="H29" s="157"/>
      <c r="I29" s="157"/>
      <c r="J29" s="157"/>
      <c r="K29" s="157"/>
      <c r="L29" s="157"/>
      <c r="M29" s="157"/>
      <c r="N29" s="157"/>
      <c r="O29" s="157"/>
      <c r="P29" s="157"/>
      <c r="Q29" s="157"/>
      <c r="R29" s="157"/>
      <c r="S29" s="157"/>
      <c r="T29" s="157"/>
      <c r="U29" s="157"/>
      <c r="V29" s="157"/>
    </row>
    <row r="30" spans="2:22" ht="30" x14ac:dyDescent="0.2">
      <c r="B30" s="158">
        <f>B29+1</f>
        <v>15</v>
      </c>
      <c r="C30" s="162" t="s">
        <v>384</v>
      </c>
      <c r="D30" s="158" t="s">
        <v>296</v>
      </c>
      <c r="E30" s="157"/>
      <c r="F30" s="157"/>
      <c r="G30" s="157"/>
      <c r="H30" s="157"/>
      <c r="I30" s="157"/>
      <c r="J30" s="157"/>
      <c r="K30" s="157"/>
      <c r="L30" s="157"/>
      <c r="M30" s="157"/>
      <c r="N30" s="157"/>
      <c r="O30" s="157"/>
      <c r="P30" s="157"/>
      <c r="Q30" s="157"/>
      <c r="R30" s="157"/>
      <c r="S30" s="157"/>
      <c r="T30" s="157"/>
      <c r="U30" s="157"/>
      <c r="V30" s="157"/>
    </row>
    <row r="31" spans="2:22" x14ac:dyDescent="0.2">
      <c r="B31" s="158">
        <f>B30+1</f>
        <v>16</v>
      </c>
      <c r="C31" s="162" t="s">
        <v>315</v>
      </c>
      <c r="D31" s="158" t="s">
        <v>296</v>
      </c>
      <c r="E31" s="159">
        <f>E24</f>
        <v>4.1906693680000009</v>
      </c>
      <c r="F31" s="159">
        <f t="shared" ref="F31:V31" si="3">F24</f>
        <v>5.9413653404000017</v>
      </c>
      <c r="G31" s="159">
        <f t="shared" si="3"/>
        <v>6.9437446280000001</v>
      </c>
      <c r="H31" s="159">
        <f t="shared" si="3"/>
        <v>0.95455893200000008</v>
      </c>
      <c r="I31" s="159">
        <f t="shared" si="3"/>
        <v>2.3579375040000001</v>
      </c>
      <c r="J31" s="159">
        <f t="shared" si="3"/>
        <v>5.2237950202000007</v>
      </c>
      <c r="K31" s="159">
        <f t="shared" si="3"/>
        <v>5.3296999999999999</v>
      </c>
      <c r="L31" s="159">
        <f t="shared" si="3"/>
        <v>6.5373376440000008</v>
      </c>
      <c r="M31" s="159">
        <f t="shared" si="3"/>
        <v>5.1947001160000008</v>
      </c>
      <c r="N31" s="159">
        <f t="shared" si="3"/>
        <v>5.0353232880000007</v>
      </c>
      <c r="O31" s="159">
        <f t="shared" si="3"/>
        <v>4.2140137440000007</v>
      </c>
      <c r="P31" s="159">
        <f t="shared" si="3"/>
        <v>6.1850305920000013</v>
      </c>
      <c r="Q31" s="159">
        <f t="shared" si="3"/>
        <v>3.5016796760000006</v>
      </c>
      <c r="R31" s="159">
        <f t="shared" si="3"/>
        <v>6.2189047160000008</v>
      </c>
      <c r="S31" s="159">
        <f t="shared" si="3"/>
        <v>4.8954803360000003</v>
      </c>
      <c r="T31" s="159">
        <f t="shared" si="3"/>
        <v>3.2131130120000004</v>
      </c>
      <c r="U31" s="159">
        <f t="shared" si="3"/>
        <v>1.1181637280000001</v>
      </c>
      <c r="V31" s="159">
        <f t="shared" si="3"/>
        <v>2.8183372320000002</v>
      </c>
    </row>
    <row r="32" spans="2:22" ht="30" x14ac:dyDescent="0.2">
      <c r="B32" s="158">
        <f>B31+1</f>
        <v>17</v>
      </c>
      <c r="C32" s="162" t="s">
        <v>316</v>
      </c>
      <c r="D32" s="158" t="s">
        <v>296</v>
      </c>
      <c r="E32" s="161">
        <f>E21+E31</f>
        <v>90.102146453423217</v>
      </c>
      <c r="F32" s="161">
        <f t="shared" ref="F32:V32" si="4">F21+F31</f>
        <v>111.04994991584641</v>
      </c>
      <c r="G32" s="161">
        <f t="shared" si="4"/>
        <v>134.59444200515802</v>
      </c>
      <c r="H32" s="161">
        <f t="shared" si="4"/>
        <v>18.049755703868001</v>
      </c>
      <c r="I32" s="161">
        <f t="shared" si="4"/>
        <v>44.007845808184797</v>
      </c>
      <c r="J32" s="161">
        <f t="shared" si="4"/>
        <v>92.782246872218394</v>
      </c>
      <c r="K32" s="161">
        <f t="shared" si="4"/>
        <v>100.4054</v>
      </c>
      <c r="L32" s="161">
        <f t="shared" si="4"/>
        <v>121.34637571047041</v>
      </c>
      <c r="M32" s="161">
        <f t="shared" si="4"/>
        <v>101.18671022339599</v>
      </c>
      <c r="N32" s="161">
        <f t="shared" si="4"/>
        <v>93.206233730603998</v>
      </c>
      <c r="O32" s="161">
        <f t="shared" si="4"/>
        <v>80.889002434572788</v>
      </c>
      <c r="P32" s="161">
        <f t="shared" si="4"/>
        <v>117.76468789025441</v>
      </c>
      <c r="Q32" s="161">
        <f t="shared" si="4"/>
        <v>64.888714177717603</v>
      </c>
      <c r="R32" s="161">
        <f t="shared" si="4"/>
        <v>114.28657866496641</v>
      </c>
      <c r="S32" s="161">
        <f t="shared" si="4"/>
        <v>93.476258899144781</v>
      </c>
      <c r="T32" s="161">
        <f t="shared" si="4"/>
        <v>62.558785125014211</v>
      </c>
      <c r="U32" s="161">
        <f t="shared" si="4"/>
        <v>20.554022439524804</v>
      </c>
      <c r="V32" s="161">
        <f t="shared" si="4"/>
        <v>43.223133660771197</v>
      </c>
    </row>
    <row r="33" spans="2:22" ht="15.75" x14ac:dyDescent="0.2">
      <c r="B33" s="155" t="s">
        <v>317</v>
      </c>
      <c r="C33" s="184" t="s">
        <v>184</v>
      </c>
      <c r="D33" s="158"/>
      <c r="E33" s="157"/>
      <c r="F33" s="157"/>
      <c r="G33" s="157"/>
      <c r="H33" s="157"/>
      <c r="I33" s="157"/>
      <c r="J33" s="157"/>
      <c r="K33" s="157"/>
      <c r="L33" s="157"/>
      <c r="M33" s="157"/>
      <c r="N33" s="157"/>
      <c r="O33" s="157"/>
      <c r="P33" s="157"/>
      <c r="Q33" s="157"/>
      <c r="R33" s="157"/>
      <c r="S33" s="157"/>
      <c r="T33" s="157"/>
      <c r="U33" s="157"/>
      <c r="V33" s="157"/>
    </row>
    <row r="34" spans="2:22" ht="15.75" x14ac:dyDescent="0.2">
      <c r="B34" s="158">
        <f>B32+1</f>
        <v>18</v>
      </c>
      <c r="C34" s="162" t="s">
        <v>318</v>
      </c>
      <c r="D34" s="158" t="s">
        <v>319</v>
      </c>
      <c r="E34" s="161">
        <f>IFERROR((E10+E32)/(E9+E16)*10000000,0)</f>
        <v>4776.2439700212353</v>
      </c>
      <c r="F34" s="161">
        <f t="shared" ref="F34:V34" si="5">IFERROR((F10+F32)/(F9+F16)*10000000,0)</f>
        <v>4690.3376422555857</v>
      </c>
      <c r="G34" s="161">
        <f t="shared" si="5"/>
        <v>4505.8462431488351</v>
      </c>
      <c r="H34" s="161">
        <f t="shared" si="5"/>
        <v>4480.8956051074583</v>
      </c>
      <c r="I34" s="161">
        <f t="shared" si="5"/>
        <v>4402.3618505753821</v>
      </c>
      <c r="J34" s="161">
        <f t="shared" si="5"/>
        <v>4312.5361818686042</v>
      </c>
      <c r="K34" s="161">
        <f t="shared" si="5"/>
        <v>4315.0256686941066</v>
      </c>
      <c r="L34" s="161">
        <f>IFERROR((L10+L32)/(L9+L16)*10000000,0)</f>
        <v>4274.0505045503533</v>
      </c>
      <c r="M34" s="161">
        <f t="shared" si="5"/>
        <v>4352.6138412865221</v>
      </c>
      <c r="N34" s="161">
        <f t="shared" si="5"/>
        <v>4300.9472819645052</v>
      </c>
      <c r="O34" s="161">
        <f>IFERROR((O10+O32)/(O9+O16)*10000000,0)</f>
        <v>4336.3879529867099</v>
      </c>
      <c r="P34" s="161">
        <f t="shared" si="5"/>
        <v>4344.7168057736762</v>
      </c>
      <c r="Q34" s="161">
        <f>IFERROR((Q10+Q32)/(Q9+Q16)*10000000,0)</f>
        <v>4308.6801274793688</v>
      </c>
      <c r="R34" s="161">
        <f t="shared" si="5"/>
        <v>4249.5034337646548</v>
      </c>
      <c r="S34" s="161">
        <f>IFERROR((S10+S32)/(S9+S16)*10000000,0)</f>
        <v>4304.6060720908708</v>
      </c>
      <c r="T34" s="161">
        <f t="shared" si="5"/>
        <v>4348.7146326111961</v>
      </c>
      <c r="U34" s="161">
        <f>IFERROR((U10+U32)/(U9+U16)*10000000,0)</f>
        <v>4327.8431747365139</v>
      </c>
      <c r="V34" s="161">
        <f t="shared" si="5"/>
        <v>3996.2468301232834</v>
      </c>
    </row>
    <row r="35" spans="2:22" x14ac:dyDescent="0.2">
      <c r="B35" s="158">
        <f>B34+1</f>
        <v>19</v>
      </c>
      <c r="C35" s="162" t="s">
        <v>320</v>
      </c>
      <c r="D35" s="158" t="s">
        <v>38</v>
      </c>
      <c r="E35" s="157"/>
      <c r="F35" s="157"/>
      <c r="G35" s="157"/>
      <c r="H35" s="157"/>
      <c r="I35" s="157"/>
      <c r="J35" s="157"/>
      <c r="K35" s="157"/>
      <c r="L35" s="157"/>
      <c r="M35" s="157"/>
      <c r="N35" s="157"/>
      <c r="O35" s="157"/>
      <c r="P35" s="157"/>
      <c r="Q35" s="157"/>
      <c r="R35" s="157"/>
      <c r="S35" s="157"/>
      <c r="T35" s="157"/>
      <c r="U35" s="157"/>
      <c r="V35" s="157"/>
    </row>
    <row r="36" spans="2:22" ht="30" x14ac:dyDescent="0.2">
      <c r="B36" s="158">
        <f>B35+1</f>
        <v>20</v>
      </c>
      <c r="C36" s="162" t="s">
        <v>321</v>
      </c>
      <c r="D36" s="158" t="s">
        <v>319</v>
      </c>
      <c r="E36" s="157"/>
      <c r="F36" s="157"/>
      <c r="G36" s="157"/>
      <c r="H36" s="157"/>
      <c r="I36" s="157"/>
      <c r="J36" s="157"/>
      <c r="K36" s="157"/>
      <c r="L36" s="157"/>
      <c r="M36" s="157"/>
      <c r="N36" s="157"/>
      <c r="O36" s="157"/>
      <c r="P36" s="157"/>
      <c r="Q36" s="157"/>
      <c r="R36" s="157"/>
      <c r="S36" s="157"/>
      <c r="T36" s="157"/>
      <c r="U36" s="157"/>
      <c r="V36" s="157"/>
    </row>
    <row r="37" spans="2:22" ht="15.75" x14ac:dyDescent="0.2">
      <c r="B37" s="155" t="s">
        <v>322</v>
      </c>
      <c r="C37" s="184" t="s">
        <v>323</v>
      </c>
      <c r="D37" s="158"/>
      <c r="E37" s="157"/>
      <c r="F37" s="157"/>
      <c r="G37" s="157"/>
      <c r="H37" s="157"/>
      <c r="I37" s="157"/>
      <c r="J37" s="157"/>
      <c r="K37" s="157"/>
      <c r="L37" s="157"/>
      <c r="M37" s="157"/>
      <c r="N37" s="157"/>
      <c r="O37" s="157"/>
      <c r="P37" s="157"/>
      <c r="Q37" s="157"/>
      <c r="R37" s="157"/>
      <c r="S37" s="157"/>
      <c r="T37" s="157"/>
      <c r="U37" s="157"/>
      <c r="V37" s="157"/>
    </row>
    <row r="38" spans="2:22" ht="30" x14ac:dyDescent="0.2">
      <c r="B38" s="158">
        <f>B36+1</f>
        <v>21</v>
      </c>
      <c r="C38" s="162" t="s">
        <v>383</v>
      </c>
      <c r="D38" s="158" t="s">
        <v>324</v>
      </c>
      <c r="E38" s="157"/>
      <c r="F38" s="157"/>
      <c r="G38" s="157"/>
      <c r="H38" s="157"/>
      <c r="I38" s="157"/>
      <c r="J38" s="157"/>
      <c r="K38" s="157"/>
      <c r="L38" s="157"/>
      <c r="M38" s="157"/>
      <c r="N38" s="157"/>
      <c r="O38" s="157"/>
      <c r="P38" s="157"/>
      <c r="Q38" s="157"/>
      <c r="R38" s="157"/>
      <c r="S38" s="157"/>
      <c r="T38" s="157"/>
      <c r="U38" s="157"/>
      <c r="V38" s="157"/>
    </row>
    <row r="39" spans="2:22" ht="30" x14ac:dyDescent="0.2">
      <c r="B39" s="158">
        <f>B38+1</f>
        <v>22</v>
      </c>
      <c r="C39" s="162" t="s">
        <v>325</v>
      </c>
      <c r="D39" s="158" t="s">
        <v>324</v>
      </c>
      <c r="E39" s="157"/>
      <c r="F39" s="157"/>
      <c r="G39" s="157"/>
      <c r="H39" s="157"/>
      <c r="I39" s="157"/>
      <c r="J39" s="157"/>
      <c r="K39" s="157"/>
      <c r="L39" s="157"/>
      <c r="M39" s="157"/>
      <c r="N39" s="157"/>
      <c r="O39" s="157"/>
      <c r="P39" s="157"/>
      <c r="Q39" s="157"/>
      <c r="R39" s="157"/>
      <c r="S39" s="157"/>
      <c r="T39" s="157"/>
      <c r="U39" s="157"/>
      <c r="V39" s="157"/>
    </row>
    <row r="40" spans="2:22" ht="30" x14ac:dyDescent="0.2">
      <c r="B40" s="158">
        <f t="shared" ref="B40:B47" si="6">B39+1</f>
        <v>23</v>
      </c>
      <c r="C40" s="162" t="s">
        <v>382</v>
      </c>
      <c r="D40" s="158" t="s">
        <v>324</v>
      </c>
      <c r="E40" s="157"/>
      <c r="F40" s="157"/>
      <c r="G40" s="157"/>
      <c r="H40" s="157"/>
      <c r="I40" s="157"/>
      <c r="J40" s="157"/>
      <c r="K40" s="157"/>
      <c r="L40" s="157"/>
      <c r="M40" s="157"/>
      <c r="N40" s="157"/>
      <c r="O40" s="157"/>
      <c r="P40" s="157"/>
      <c r="Q40" s="157"/>
      <c r="R40" s="157"/>
      <c r="S40" s="157"/>
      <c r="T40" s="157"/>
      <c r="U40" s="157"/>
      <c r="V40" s="157"/>
    </row>
    <row r="41" spans="2:22" ht="30" x14ac:dyDescent="0.2">
      <c r="B41" s="158">
        <f t="shared" si="6"/>
        <v>24</v>
      </c>
      <c r="C41" s="162" t="s">
        <v>326</v>
      </c>
      <c r="D41" s="158" t="s">
        <v>324</v>
      </c>
      <c r="E41" s="157"/>
      <c r="F41" s="157"/>
      <c r="G41" s="157"/>
      <c r="H41" s="157"/>
      <c r="I41" s="157"/>
      <c r="J41" s="157"/>
      <c r="K41" s="157"/>
      <c r="L41" s="157"/>
      <c r="M41" s="157"/>
      <c r="N41" s="157"/>
      <c r="O41" s="157"/>
      <c r="P41" s="157"/>
      <c r="Q41" s="157"/>
      <c r="R41" s="157"/>
      <c r="S41" s="157"/>
      <c r="T41" s="157"/>
      <c r="U41" s="157"/>
      <c r="V41" s="157"/>
    </row>
    <row r="42" spans="2:22" x14ac:dyDescent="0.2">
      <c r="B42" s="158">
        <f t="shared" si="6"/>
        <v>25</v>
      </c>
      <c r="C42" s="162" t="s">
        <v>327</v>
      </c>
      <c r="D42" s="158" t="s">
        <v>324</v>
      </c>
      <c r="E42" s="284">
        <v>3551</v>
      </c>
      <c r="F42" s="284">
        <v>3333</v>
      </c>
      <c r="G42" s="284">
        <v>3078</v>
      </c>
      <c r="H42" s="284">
        <v>2530</v>
      </c>
      <c r="I42" s="284">
        <v>2969</v>
      </c>
      <c r="J42" s="284">
        <v>2924</v>
      </c>
      <c r="K42" s="284">
        <v>3111</v>
      </c>
      <c r="L42" s="284">
        <v>3040</v>
      </c>
      <c r="M42" s="284">
        <v>3250</v>
      </c>
      <c r="N42" s="284">
        <v>2964</v>
      </c>
      <c r="O42" s="284">
        <v>3404</v>
      </c>
      <c r="P42" s="284">
        <v>3213</v>
      </c>
      <c r="Q42" s="284">
        <v>3210</v>
      </c>
      <c r="R42" s="284">
        <v>2795</v>
      </c>
      <c r="S42" s="284">
        <v>3167</v>
      </c>
      <c r="T42" s="284">
        <v>3373</v>
      </c>
      <c r="U42" s="284">
        <v>3349</v>
      </c>
      <c r="V42" s="292">
        <v>2915</v>
      </c>
    </row>
    <row r="43" spans="2:22" ht="30" x14ac:dyDescent="0.2">
      <c r="B43" s="158">
        <f t="shared" si="6"/>
        <v>26</v>
      </c>
      <c r="C43" s="162" t="s">
        <v>381</v>
      </c>
      <c r="D43" s="158" t="s">
        <v>324</v>
      </c>
      <c r="E43" s="283">
        <v>3030</v>
      </c>
      <c r="F43" s="283">
        <v>3198.939031024443</v>
      </c>
      <c r="G43" s="283">
        <v>3129.0483568013333</v>
      </c>
      <c r="H43" s="283">
        <v>2965.9414279598359</v>
      </c>
      <c r="I43" s="283">
        <v>2887.9271412752928</v>
      </c>
      <c r="J43" s="283">
        <v>2830.4558469615108</v>
      </c>
      <c r="K43" s="283">
        <v>2726.5235184139983</v>
      </c>
      <c r="L43" s="283">
        <v>2754.7048534148789</v>
      </c>
      <c r="M43" s="283">
        <v>2814.3432546522017</v>
      </c>
      <c r="N43" s="283">
        <v>2935.2591242761182</v>
      </c>
      <c r="O43" s="283">
        <v>2881.431048335005</v>
      </c>
      <c r="P43" s="283">
        <v>3001.3506251007489</v>
      </c>
      <c r="Q43" s="283"/>
      <c r="R43" s="283"/>
      <c r="S43" s="283"/>
      <c r="T43" s="283"/>
      <c r="U43" s="283"/>
      <c r="V43" s="293"/>
    </row>
    <row r="44" spans="2:22" ht="30" x14ac:dyDescent="0.2">
      <c r="B44" s="158">
        <f t="shared" si="6"/>
        <v>27</v>
      </c>
      <c r="C44" s="162" t="s">
        <v>328</v>
      </c>
      <c r="D44" s="158" t="s">
        <v>324</v>
      </c>
      <c r="E44" s="283">
        <v>3315</v>
      </c>
      <c r="F44" s="283">
        <v>3099</v>
      </c>
      <c r="G44" s="283">
        <v>2901</v>
      </c>
      <c r="H44" s="283">
        <v>2401</v>
      </c>
      <c r="I44" s="283">
        <v>2734</v>
      </c>
      <c r="J44" s="283">
        <v>2661</v>
      </c>
      <c r="K44" s="283">
        <v>2780</v>
      </c>
      <c r="L44" s="283">
        <v>2858</v>
      </c>
      <c r="M44" s="283">
        <v>3089</v>
      </c>
      <c r="N44" s="283">
        <v>2810</v>
      </c>
      <c r="O44" s="283">
        <v>3189</v>
      </c>
      <c r="P44" s="283">
        <v>3078</v>
      </c>
      <c r="Q44" s="283"/>
      <c r="R44" s="283"/>
      <c r="S44" s="283"/>
      <c r="T44" s="283"/>
      <c r="U44" s="283"/>
      <c r="V44" s="293"/>
    </row>
    <row r="45" spans="2:22" ht="30" x14ac:dyDescent="0.2">
      <c r="B45" s="158">
        <f t="shared" si="6"/>
        <v>28</v>
      </c>
      <c r="C45" s="162" t="s">
        <v>329</v>
      </c>
      <c r="D45" s="158" t="s">
        <v>324</v>
      </c>
      <c r="E45" s="283"/>
      <c r="F45" s="283"/>
      <c r="G45" s="283"/>
      <c r="H45" s="283"/>
      <c r="I45" s="283"/>
      <c r="J45" s="283"/>
      <c r="K45" s="283"/>
      <c r="L45" s="283"/>
      <c r="M45" s="283"/>
      <c r="N45" s="283"/>
      <c r="O45" s="283"/>
      <c r="P45" s="283"/>
      <c r="Q45" s="283"/>
      <c r="R45" s="283"/>
      <c r="S45" s="283"/>
      <c r="T45" s="283"/>
      <c r="U45" s="283"/>
      <c r="V45" s="293"/>
    </row>
    <row r="46" spans="2:22" ht="30" x14ac:dyDescent="0.2">
      <c r="B46" s="158">
        <f t="shared" si="6"/>
        <v>29</v>
      </c>
      <c r="C46" s="162" t="s">
        <v>329</v>
      </c>
      <c r="D46" s="158" t="s">
        <v>324</v>
      </c>
      <c r="E46" s="283"/>
      <c r="F46" s="283"/>
      <c r="G46" s="283"/>
      <c r="H46" s="283"/>
      <c r="I46" s="283"/>
      <c r="J46" s="283"/>
      <c r="K46" s="283"/>
      <c r="L46" s="283"/>
      <c r="M46" s="283"/>
      <c r="N46" s="283"/>
      <c r="O46" s="283"/>
      <c r="P46" s="283"/>
      <c r="Q46" s="283"/>
      <c r="R46" s="283"/>
      <c r="S46" s="283"/>
      <c r="T46" s="283"/>
      <c r="U46" s="283"/>
      <c r="V46" s="293"/>
    </row>
    <row r="47" spans="2:22" s="164" customFormat="1" ht="15.75" x14ac:dyDescent="0.25">
      <c r="B47" s="155">
        <f t="shared" si="6"/>
        <v>30</v>
      </c>
      <c r="C47" s="184" t="s">
        <v>330</v>
      </c>
      <c r="D47" s="155" t="s">
        <v>324</v>
      </c>
      <c r="E47" s="294">
        <v>3198.939031024443</v>
      </c>
      <c r="F47" s="294">
        <v>3129.0483568013333</v>
      </c>
      <c r="G47" s="294">
        <v>2965.9414279598359</v>
      </c>
      <c r="H47" s="294">
        <v>2887.9271412752928</v>
      </c>
      <c r="I47" s="294">
        <v>2830.4558469615108</v>
      </c>
      <c r="J47" s="294">
        <v>2726.5235184139983</v>
      </c>
      <c r="K47" s="294">
        <v>2754.7048534148789</v>
      </c>
      <c r="L47" s="294">
        <v>2814.3432546522017</v>
      </c>
      <c r="M47" s="294">
        <v>2935.2591242761182</v>
      </c>
      <c r="N47" s="289">
        <v>2881.431048335005</v>
      </c>
      <c r="O47" s="289">
        <v>3001.3506251007489</v>
      </c>
      <c r="P47" s="294">
        <v>3039.6880122797811</v>
      </c>
      <c r="Q47" s="295">
        <v>2800</v>
      </c>
      <c r="R47" s="295">
        <v>2468</v>
      </c>
      <c r="S47" s="294">
        <v>2736</v>
      </c>
      <c r="T47" s="294">
        <v>3053</v>
      </c>
      <c r="U47" s="294">
        <v>2892</v>
      </c>
      <c r="V47" s="294">
        <v>2653</v>
      </c>
    </row>
    <row r="48" spans="2:22" ht="15.75" x14ac:dyDescent="0.2">
      <c r="B48" s="164" t="s">
        <v>234</v>
      </c>
    </row>
    <row r="49" spans="2:22" ht="17.25" customHeight="1" x14ac:dyDescent="0.2">
      <c r="B49" s="156">
        <v>1</v>
      </c>
      <c r="C49" s="362" t="s">
        <v>331</v>
      </c>
      <c r="D49" s="362"/>
      <c r="E49" s="362"/>
      <c r="F49" s="362"/>
      <c r="G49" s="362"/>
      <c r="H49" s="362"/>
      <c r="I49" s="362"/>
      <c r="J49" s="362"/>
      <c r="K49" s="362"/>
      <c r="L49" s="362"/>
      <c r="M49" s="362"/>
      <c r="N49" s="362"/>
      <c r="O49" s="362"/>
      <c r="P49" s="362"/>
      <c r="Q49" s="362"/>
      <c r="R49" s="362"/>
      <c r="S49" s="362"/>
      <c r="T49" s="362"/>
      <c r="U49" s="362"/>
      <c r="V49" s="362"/>
    </row>
    <row r="50" spans="2:22" ht="17.25" customHeight="1" x14ac:dyDescent="0.2">
      <c r="B50" s="156">
        <f>B49+1</f>
        <v>2</v>
      </c>
      <c r="C50" s="362" t="s">
        <v>332</v>
      </c>
      <c r="D50" s="362"/>
      <c r="E50" s="362"/>
      <c r="F50" s="362"/>
      <c r="G50" s="362"/>
      <c r="H50" s="362"/>
      <c r="I50" s="362"/>
      <c r="J50" s="362"/>
      <c r="K50" s="362"/>
      <c r="L50" s="362"/>
      <c r="M50" s="362"/>
      <c r="N50" s="362"/>
      <c r="O50" s="362"/>
      <c r="P50" s="362"/>
      <c r="Q50" s="362"/>
      <c r="R50" s="362"/>
      <c r="S50" s="362"/>
      <c r="T50" s="362"/>
      <c r="U50" s="362"/>
      <c r="V50" s="362"/>
    </row>
    <row r="51" spans="2:22" ht="17.25" customHeight="1" x14ac:dyDescent="0.2">
      <c r="B51" s="156">
        <f>B50+1</f>
        <v>3</v>
      </c>
      <c r="C51" s="362" t="s">
        <v>333</v>
      </c>
      <c r="D51" s="362"/>
      <c r="E51" s="362"/>
      <c r="F51" s="362"/>
      <c r="G51" s="362"/>
      <c r="H51" s="362"/>
      <c r="I51" s="362"/>
      <c r="J51" s="362"/>
      <c r="K51" s="362"/>
      <c r="L51" s="362"/>
      <c r="M51" s="362"/>
      <c r="N51" s="362"/>
      <c r="O51" s="362"/>
      <c r="P51" s="362"/>
      <c r="Q51" s="362"/>
      <c r="R51" s="362"/>
      <c r="S51" s="362"/>
      <c r="T51" s="362"/>
      <c r="U51" s="362"/>
      <c r="V51" s="362"/>
    </row>
    <row r="52" spans="2:22" ht="17.25" customHeight="1" x14ac:dyDescent="0.2">
      <c r="B52" s="156">
        <f>B51+1</f>
        <v>4</v>
      </c>
      <c r="C52" s="362" t="s">
        <v>334</v>
      </c>
      <c r="D52" s="362"/>
      <c r="E52" s="362"/>
      <c r="F52" s="362"/>
      <c r="G52" s="362"/>
      <c r="H52" s="362"/>
      <c r="I52" s="362"/>
      <c r="J52" s="362"/>
      <c r="K52" s="362"/>
      <c r="L52" s="362"/>
      <c r="M52" s="362"/>
      <c r="N52" s="362"/>
      <c r="O52" s="362"/>
      <c r="P52" s="362"/>
      <c r="Q52" s="362"/>
      <c r="R52" s="362"/>
      <c r="S52" s="362"/>
      <c r="T52" s="362"/>
      <c r="U52" s="362"/>
      <c r="V52" s="362"/>
    </row>
  </sheetData>
  <mergeCells count="12">
    <mergeCell ref="C49:V49"/>
    <mergeCell ref="C50:V50"/>
    <mergeCell ref="C51:V51"/>
    <mergeCell ref="C52:V52"/>
    <mergeCell ref="B3:V3"/>
    <mergeCell ref="B4:V4"/>
    <mergeCell ref="B2:V2"/>
    <mergeCell ref="E6:P6"/>
    <mergeCell ref="Q6:V6"/>
    <mergeCell ref="B6:B7"/>
    <mergeCell ref="C6:C7"/>
    <mergeCell ref="D6:D7"/>
  </mergeCells>
  <phoneticPr fontId="13" type="noConversion"/>
  <pageMargins left="0.2" right="0.2" top="0.25" bottom="0.25" header="0.3" footer="0.3"/>
  <pageSetup paperSize="9" scale="51"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2"/>
  <sheetViews>
    <sheetView view="pageBreakPreview" topLeftCell="A31" zoomScale="79" zoomScaleSheetLayoutView="79" workbookViewId="0">
      <selection activeCell="C54" sqref="C54"/>
    </sheetView>
  </sheetViews>
  <sheetFormatPr defaultRowHeight="15" x14ac:dyDescent="0.2"/>
  <cols>
    <col min="1" max="1" width="7.42578125" style="165" customWidth="1"/>
    <col min="2" max="2" width="73.28515625" style="276" customWidth="1"/>
    <col min="3" max="4" width="11" style="165" customWidth="1"/>
    <col min="5" max="21" width="12.42578125" style="165" customWidth="1"/>
    <col min="22" max="22" width="12.7109375" style="165" customWidth="1"/>
    <col min="23" max="27" width="10.85546875" style="165" customWidth="1"/>
    <col min="28" max="39" width="11.140625" style="165" customWidth="1"/>
    <col min="40" max="16384" width="9.140625" style="165"/>
  </cols>
  <sheetData>
    <row r="1" spans="1:39" ht="15.75" x14ac:dyDescent="0.2">
      <c r="A1" s="312" t="s">
        <v>422</v>
      </c>
      <c r="B1" s="312"/>
      <c r="C1" s="312"/>
      <c r="D1" s="312"/>
      <c r="E1" s="312"/>
      <c r="F1" s="312"/>
      <c r="G1" s="312"/>
      <c r="H1" s="312"/>
      <c r="I1" s="312"/>
      <c r="J1" s="312"/>
      <c r="K1" s="312"/>
      <c r="L1" s="312"/>
      <c r="M1" s="312"/>
      <c r="N1" s="312"/>
      <c r="O1" s="312"/>
      <c r="P1" s="312"/>
      <c r="Q1" s="312"/>
      <c r="R1" s="312"/>
      <c r="S1" s="312"/>
      <c r="T1" s="312"/>
      <c r="U1" s="312"/>
      <c r="V1" s="312"/>
    </row>
    <row r="2" spans="1:39" ht="15.75" x14ac:dyDescent="0.2">
      <c r="A2" s="312" t="s">
        <v>423</v>
      </c>
      <c r="B2" s="312"/>
      <c r="C2" s="312"/>
      <c r="D2" s="312"/>
      <c r="E2" s="312"/>
      <c r="F2" s="312"/>
      <c r="G2" s="312"/>
      <c r="H2" s="312"/>
      <c r="I2" s="312"/>
      <c r="J2" s="312"/>
      <c r="K2" s="312"/>
      <c r="L2" s="312"/>
      <c r="M2" s="312"/>
      <c r="N2" s="312"/>
      <c r="O2" s="312"/>
      <c r="P2" s="312"/>
      <c r="Q2" s="312"/>
      <c r="R2" s="312"/>
      <c r="S2" s="312"/>
      <c r="T2" s="312"/>
      <c r="U2" s="312"/>
      <c r="V2" s="312"/>
    </row>
    <row r="3" spans="1:39" ht="15.75" x14ac:dyDescent="0.2">
      <c r="A3" s="359" t="s">
        <v>336</v>
      </c>
      <c r="B3" s="359"/>
      <c r="C3" s="359"/>
      <c r="D3" s="359"/>
      <c r="E3" s="359"/>
      <c r="F3" s="359"/>
      <c r="G3" s="359"/>
      <c r="H3" s="359"/>
      <c r="I3" s="359"/>
      <c r="J3" s="359"/>
      <c r="K3" s="359"/>
      <c r="L3" s="359"/>
      <c r="M3" s="359"/>
      <c r="N3" s="359"/>
      <c r="O3" s="359"/>
      <c r="P3" s="359"/>
      <c r="Q3" s="359"/>
      <c r="R3" s="359"/>
      <c r="S3" s="359"/>
      <c r="T3" s="359"/>
      <c r="U3" s="359"/>
      <c r="V3" s="359"/>
    </row>
    <row r="4" spans="1:39" ht="15.75" thickBot="1" x14ac:dyDescent="0.25"/>
    <row r="5" spans="1:39" x14ac:dyDescent="0.2">
      <c r="A5" s="371" t="s">
        <v>188</v>
      </c>
      <c r="B5" s="372" t="s">
        <v>14</v>
      </c>
      <c r="C5" s="371" t="s">
        <v>35</v>
      </c>
      <c r="D5" s="365">
        <v>45383</v>
      </c>
      <c r="E5" s="370"/>
      <c r="F5" s="365">
        <v>45413</v>
      </c>
      <c r="G5" s="370"/>
      <c r="H5" s="365">
        <v>45444</v>
      </c>
      <c r="I5" s="370"/>
      <c r="J5" s="365">
        <v>45474</v>
      </c>
      <c r="K5" s="370"/>
      <c r="L5" s="365">
        <v>45505</v>
      </c>
      <c r="M5" s="370"/>
      <c r="N5" s="365">
        <v>45536</v>
      </c>
      <c r="O5" s="370"/>
      <c r="P5" s="365">
        <v>45566</v>
      </c>
      <c r="Q5" s="365"/>
      <c r="R5" s="365">
        <v>45597</v>
      </c>
      <c r="S5" s="365"/>
      <c r="T5" s="365">
        <v>45627</v>
      </c>
      <c r="U5" s="365"/>
      <c r="V5" s="365">
        <v>45658</v>
      </c>
      <c r="W5" s="370"/>
      <c r="X5" s="365">
        <v>45690</v>
      </c>
      <c r="Y5" s="370"/>
      <c r="Z5" s="365">
        <v>45719</v>
      </c>
      <c r="AA5" s="366"/>
      <c r="AB5" s="365">
        <v>45750</v>
      </c>
      <c r="AC5" s="366"/>
      <c r="AD5" s="365">
        <v>45780</v>
      </c>
      <c r="AE5" s="366"/>
      <c r="AF5" s="365">
        <v>45811</v>
      </c>
      <c r="AG5" s="366"/>
      <c r="AH5" s="365">
        <v>45841</v>
      </c>
      <c r="AI5" s="366"/>
      <c r="AJ5" s="365">
        <v>45872</v>
      </c>
      <c r="AK5" s="366"/>
      <c r="AL5" s="365">
        <v>45903</v>
      </c>
      <c r="AM5" s="366"/>
    </row>
    <row r="6" spans="1:39" x14ac:dyDescent="0.2">
      <c r="A6" s="371"/>
      <c r="B6" s="372"/>
      <c r="C6" s="371"/>
      <c r="D6" s="186" t="s">
        <v>493</v>
      </c>
      <c r="E6" s="186" t="s">
        <v>494</v>
      </c>
      <c r="F6" s="186" t="s">
        <v>493</v>
      </c>
      <c r="G6" s="186" t="s">
        <v>494</v>
      </c>
      <c r="H6" s="186" t="s">
        <v>493</v>
      </c>
      <c r="I6" s="186" t="s">
        <v>494</v>
      </c>
      <c r="J6" s="186" t="s">
        <v>493</v>
      </c>
      <c r="K6" s="186" t="s">
        <v>494</v>
      </c>
      <c r="L6" s="186" t="s">
        <v>493</v>
      </c>
      <c r="M6" s="186" t="s">
        <v>494</v>
      </c>
      <c r="N6" s="186" t="s">
        <v>493</v>
      </c>
      <c r="O6" s="186" t="s">
        <v>494</v>
      </c>
      <c r="P6" s="186" t="s">
        <v>493</v>
      </c>
      <c r="Q6" s="186" t="s">
        <v>494</v>
      </c>
      <c r="R6" s="186" t="s">
        <v>493</v>
      </c>
      <c r="S6" s="186" t="s">
        <v>494</v>
      </c>
      <c r="T6" s="186" t="s">
        <v>493</v>
      </c>
      <c r="U6" s="186" t="s">
        <v>494</v>
      </c>
      <c r="V6" s="186" t="s">
        <v>493</v>
      </c>
      <c r="W6" s="186" t="s">
        <v>494</v>
      </c>
      <c r="X6" s="186" t="s">
        <v>493</v>
      </c>
      <c r="Y6" s="186" t="s">
        <v>494</v>
      </c>
      <c r="Z6" s="186" t="s">
        <v>493</v>
      </c>
      <c r="AA6" s="186" t="s">
        <v>494</v>
      </c>
      <c r="AB6" s="163" t="s">
        <v>493</v>
      </c>
      <c r="AC6" s="163" t="s">
        <v>494</v>
      </c>
      <c r="AD6" s="163" t="s">
        <v>493</v>
      </c>
      <c r="AE6" s="163" t="s">
        <v>494</v>
      </c>
      <c r="AF6" s="163" t="s">
        <v>493</v>
      </c>
      <c r="AG6" s="163" t="s">
        <v>494</v>
      </c>
      <c r="AH6" s="163" t="s">
        <v>493</v>
      </c>
      <c r="AI6" s="163" t="s">
        <v>494</v>
      </c>
      <c r="AJ6" s="163" t="s">
        <v>493</v>
      </c>
      <c r="AK6" s="163" t="s">
        <v>494</v>
      </c>
      <c r="AL6" s="163" t="s">
        <v>493</v>
      </c>
      <c r="AM6" s="163" t="s">
        <v>494</v>
      </c>
    </row>
    <row r="7" spans="1:39" ht="15.75" x14ac:dyDescent="0.2">
      <c r="A7" s="185" t="s">
        <v>63</v>
      </c>
      <c r="B7" s="277" t="s">
        <v>292</v>
      </c>
      <c r="C7" s="188"/>
      <c r="D7" s="189"/>
      <c r="E7" s="189"/>
      <c r="F7" s="189"/>
      <c r="G7" s="189"/>
      <c r="H7" s="189"/>
      <c r="I7" s="189"/>
      <c r="J7" s="189"/>
      <c r="K7" s="189"/>
      <c r="L7" s="189"/>
      <c r="M7" s="189"/>
      <c r="N7" s="189"/>
      <c r="O7" s="189"/>
      <c r="P7" s="189"/>
      <c r="Q7" s="189"/>
      <c r="R7" s="189"/>
      <c r="S7" s="189"/>
      <c r="T7" s="189"/>
      <c r="U7" s="189"/>
      <c r="V7" s="189"/>
      <c r="W7" s="189"/>
      <c r="X7" s="189"/>
      <c r="Y7" s="189"/>
      <c r="Z7" s="189"/>
      <c r="AA7" s="189"/>
      <c r="AB7" s="163"/>
      <c r="AC7" s="163"/>
      <c r="AD7" s="163"/>
      <c r="AE7" s="163"/>
      <c r="AF7" s="163"/>
      <c r="AG7" s="163"/>
      <c r="AH7" s="163"/>
      <c r="AI7" s="163"/>
      <c r="AJ7" s="163"/>
      <c r="AK7" s="163"/>
      <c r="AL7" s="163"/>
      <c r="AM7" s="163"/>
    </row>
    <row r="8" spans="1:39" x14ac:dyDescent="0.2">
      <c r="A8" s="188">
        <v>1</v>
      </c>
      <c r="B8" s="278" t="s">
        <v>424</v>
      </c>
      <c r="C8" s="188" t="s">
        <v>425</v>
      </c>
      <c r="D8" s="283">
        <v>1735.7490000000005</v>
      </c>
      <c r="E8" s="283">
        <v>141.66100000000009</v>
      </c>
      <c r="F8" s="283">
        <v>1958.6120000000005</v>
      </c>
      <c r="G8" s="283">
        <v>137.49500000000009</v>
      </c>
      <c r="H8" s="283">
        <v>1811.0880000000006</v>
      </c>
      <c r="I8" s="283">
        <v>127.49600000000009</v>
      </c>
      <c r="J8" s="283">
        <v>1428.1540000000007</v>
      </c>
      <c r="K8" s="283">
        <v>112.49600000000009</v>
      </c>
      <c r="L8" s="283">
        <v>1406.1820000000007</v>
      </c>
      <c r="M8" s="283">
        <v>112.49600000000009</v>
      </c>
      <c r="N8" s="283">
        <v>1569.4000000000008</v>
      </c>
      <c r="O8" s="283">
        <v>161.66000000000008</v>
      </c>
      <c r="P8" s="283">
        <v>1688.6750000000006</v>
      </c>
      <c r="Q8" s="283">
        <v>139.16100000000009</v>
      </c>
      <c r="R8" s="283">
        <v>1616.4820000000007</v>
      </c>
      <c r="S8" s="283">
        <v>134.16100000000009</v>
      </c>
      <c r="T8" s="283">
        <v>1468.9590000000007</v>
      </c>
      <c r="U8" s="283">
        <v>127.49500000000009</v>
      </c>
      <c r="V8" s="283">
        <v>1368.5170000000007</v>
      </c>
      <c r="W8" s="283">
        <v>124.16200000000009</v>
      </c>
      <c r="X8" s="283">
        <v>1581.9550000000008</v>
      </c>
      <c r="Y8" s="283">
        <v>114.16200000000009</v>
      </c>
      <c r="Z8" s="283">
        <v>1462.6810000000009</v>
      </c>
      <c r="AA8" s="283">
        <v>111.66200000000009</v>
      </c>
      <c r="AB8" s="284">
        <v>1877.0020000000011</v>
      </c>
      <c r="AC8" s="284">
        <v>111.66200000000009</v>
      </c>
      <c r="AD8" s="284">
        <v>1836.198000000001</v>
      </c>
      <c r="AE8" s="284">
        <v>105.82900000000009</v>
      </c>
      <c r="AF8" s="284">
        <v>1901.131000000001</v>
      </c>
      <c r="AG8" s="284">
        <v>102.49600000000009</v>
      </c>
      <c r="AH8" s="284">
        <v>1867.7410000000011</v>
      </c>
      <c r="AI8" s="284">
        <v>113.3360000000001</v>
      </c>
      <c r="AJ8" s="284">
        <v>1921.0030000000008</v>
      </c>
      <c r="AK8" s="284">
        <v>125.00200000000009</v>
      </c>
      <c r="AL8" s="284">
        <v>2050.324000000001</v>
      </c>
      <c r="AM8" s="284">
        <v>128.80200000000008</v>
      </c>
    </row>
    <row r="9" spans="1:39" x14ac:dyDescent="0.2">
      <c r="A9" s="188">
        <v>2</v>
      </c>
      <c r="B9" s="278" t="s">
        <v>294</v>
      </c>
      <c r="C9" s="188" t="s">
        <v>426</v>
      </c>
      <c r="D9" s="283">
        <v>10.516794117383499</v>
      </c>
      <c r="E9" s="283">
        <v>1.1454710804717398</v>
      </c>
      <c r="F9" s="283">
        <v>11.967493196477529</v>
      </c>
      <c r="G9" s="283">
        <v>1.11178479757634</v>
      </c>
      <c r="H9" s="283">
        <v>11.066093395844657</v>
      </c>
      <c r="I9" s="283">
        <v>1.0309328670263869</v>
      </c>
      <c r="J9" s="283">
        <v>8.7262935581535146</v>
      </c>
      <c r="K9" s="283">
        <v>0.9096428421989744</v>
      </c>
      <c r="L9" s="283">
        <v>8.5920404439517206</v>
      </c>
      <c r="M9" s="283">
        <v>0.9096428421989744</v>
      </c>
      <c r="N9" s="283">
        <v>9.8101832889415483</v>
      </c>
      <c r="O9" s="283">
        <v>1.2793916001343786</v>
      </c>
      <c r="P9" s="283">
        <v>10.470761763724315</v>
      </c>
      <c r="Q9" s="283">
        <v>1.1013325155653859</v>
      </c>
      <c r="R9" s="283">
        <v>10.023123405835111</v>
      </c>
      <c r="S9" s="283">
        <v>1.0617620714192031</v>
      </c>
      <c r="T9" s="283">
        <v>9.1083954755525518</v>
      </c>
      <c r="U9" s="283">
        <v>1.0090067552835125</v>
      </c>
      <c r="V9" s="283">
        <v>8.4855969778712339</v>
      </c>
      <c r="W9" s="283">
        <v>0.98262909721566716</v>
      </c>
      <c r="X9" s="283">
        <v>9.786332908015547</v>
      </c>
      <c r="Y9" s="283">
        <v>0.90348820892330184</v>
      </c>
      <c r="Z9" s="283">
        <v>9.0484768556811606</v>
      </c>
      <c r="AA9" s="283">
        <v>0.88370298685021043</v>
      </c>
      <c r="AB9" s="284">
        <v>11.7318649390103</v>
      </c>
      <c r="AC9" s="284">
        <v>0.88370298685021009</v>
      </c>
      <c r="AD9" s="284">
        <v>11.476826842635669</v>
      </c>
      <c r="AE9" s="284">
        <v>0.83754010670927348</v>
      </c>
      <c r="AF9" s="284">
        <v>11.806872793200268</v>
      </c>
      <c r="AG9" s="284">
        <v>0.81116244864142817</v>
      </c>
      <c r="AH9" s="284">
        <v>11.492760726709182</v>
      </c>
      <c r="AI9" s="284">
        <v>0.8606657921435874</v>
      </c>
      <c r="AJ9" s="284">
        <v>11.800573399277251</v>
      </c>
      <c r="AK9" s="284">
        <v>0.9430595518293744</v>
      </c>
      <c r="AL9" s="284">
        <v>12.535735760697744</v>
      </c>
      <c r="AM9" s="284">
        <v>0.97337498134048506</v>
      </c>
    </row>
    <row r="10" spans="1:39" ht="15.75" x14ac:dyDescent="0.2">
      <c r="A10" s="185" t="s">
        <v>67</v>
      </c>
      <c r="B10" s="277" t="s">
        <v>297</v>
      </c>
      <c r="C10" s="188"/>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4"/>
      <c r="AC10" s="284"/>
      <c r="AD10" s="284"/>
      <c r="AE10" s="284"/>
      <c r="AF10" s="284"/>
      <c r="AG10" s="284"/>
      <c r="AH10" s="284"/>
      <c r="AI10" s="284"/>
      <c r="AJ10" s="284"/>
      <c r="AK10" s="284"/>
      <c r="AL10" s="284"/>
      <c r="AM10" s="284"/>
    </row>
    <row r="11" spans="1:39" x14ac:dyDescent="0.2">
      <c r="A11" s="188">
        <v>3</v>
      </c>
      <c r="B11" s="278" t="s">
        <v>427</v>
      </c>
      <c r="C11" s="188" t="s">
        <v>425</v>
      </c>
      <c r="D11" s="283">
        <v>292.27999999999997</v>
      </c>
      <c r="E11" s="283">
        <v>0</v>
      </c>
      <c r="F11" s="283">
        <v>0</v>
      </c>
      <c r="G11" s="283">
        <v>0</v>
      </c>
      <c r="H11" s="283">
        <v>0</v>
      </c>
      <c r="I11" s="283">
        <v>0</v>
      </c>
      <c r="J11" s="283">
        <v>0</v>
      </c>
      <c r="K11" s="283">
        <v>0</v>
      </c>
      <c r="L11" s="283">
        <v>628.81100000000004</v>
      </c>
      <c r="M11" s="283">
        <v>98</v>
      </c>
      <c r="N11" s="283">
        <v>405.09699999999998</v>
      </c>
      <c r="O11" s="283">
        <v>0</v>
      </c>
      <c r="P11" s="283">
        <v>0</v>
      </c>
      <c r="Q11" s="283">
        <v>0</v>
      </c>
      <c r="R11" s="283">
        <v>0</v>
      </c>
      <c r="S11" s="283">
        <v>0</v>
      </c>
      <c r="T11" s="283">
        <v>0</v>
      </c>
      <c r="U11" s="283">
        <v>0</v>
      </c>
      <c r="V11" s="283">
        <v>424.83699999999999</v>
      </c>
      <c r="W11" s="283">
        <v>0</v>
      </c>
      <c r="X11" s="283">
        <v>0</v>
      </c>
      <c r="Y11" s="283">
        <v>0</v>
      </c>
      <c r="Z11" s="283">
        <v>423.37099999999998</v>
      </c>
      <c r="AA11" s="283">
        <v>0</v>
      </c>
      <c r="AB11" s="284">
        <v>0</v>
      </c>
      <c r="AC11" s="284">
        <v>0</v>
      </c>
      <c r="AD11" s="284">
        <v>159.09700000000001</v>
      </c>
      <c r="AE11" s="284">
        <v>0</v>
      </c>
      <c r="AF11" s="284">
        <v>625.77200000000005</v>
      </c>
      <c r="AG11" s="284">
        <v>49</v>
      </c>
      <c r="AH11" s="284">
        <v>358.375</v>
      </c>
      <c r="AI11" s="284">
        <v>34</v>
      </c>
      <c r="AJ11" s="284">
        <v>541.69100000000003</v>
      </c>
      <c r="AK11" s="284">
        <v>49</v>
      </c>
      <c r="AL11" s="284">
        <v>274.61599999999999</v>
      </c>
      <c r="AM11" s="284">
        <v>0</v>
      </c>
    </row>
    <row r="12" spans="1:39" x14ac:dyDescent="0.2">
      <c r="A12" s="188">
        <v>4</v>
      </c>
      <c r="B12" s="278" t="s">
        <v>428</v>
      </c>
      <c r="C12" s="188" t="s">
        <v>425</v>
      </c>
      <c r="D12" s="283"/>
      <c r="E12" s="283"/>
      <c r="F12" s="283"/>
      <c r="G12" s="283"/>
      <c r="H12" s="283"/>
      <c r="I12" s="283"/>
      <c r="J12" s="283"/>
      <c r="K12" s="283"/>
      <c r="L12" s="283"/>
      <c r="M12" s="283"/>
      <c r="N12" s="283"/>
      <c r="O12" s="283"/>
      <c r="P12" s="283"/>
      <c r="Q12" s="283"/>
      <c r="R12" s="283"/>
      <c r="S12" s="283"/>
      <c r="T12" s="283"/>
      <c r="U12" s="283"/>
      <c r="V12" s="283"/>
      <c r="W12" s="284"/>
      <c r="X12" s="284"/>
      <c r="Y12" s="284"/>
      <c r="Z12" s="284"/>
      <c r="AA12" s="284"/>
      <c r="AB12" s="284"/>
      <c r="AC12" s="284"/>
      <c r="AD12" s="284"/>
      <c r="AE12" s="284"/>
      <c r="AF12" s="284"/>
      <c r="AG12" s="284"/>
      <c r="AH12" s="284"/>
      <c r="AI12" s="284"/>
      <c r="AJ12" s="284"/>
      <c r="AK12" s="284"/>
      <c r="AL12" s="284"/>
      <c r="AM12" s="284"/>
    </row>
    <row r="13" spans="1:39" x14ac:dyDescent="0.2">
      <c r="A13" s="188">
        <v>5</v>
      </c>
      <c r="B13" s="278" t="s">
        <v>429</v>
      </c>
      <c r="C13" s="188" t="s">
        <v>425</v>
      </c>
      <c r="D13" s="283">
        <f>SUM(D11:D12)</f>
        <v>292.27999999999997</v>
      </c>
      <c r="E13" s="283">
        <f t="shared" ref="E13:AM13" si="0">SUM(E11:E12)</f>
        <v>0</v>
      </c>
      <c r="F13" s="283">
        <f t="shared" si="0"/>
        <v>0</v>
      </c>
      <c r="G13" s="283">
        <f t="shared" si="0"/>
        <v>0</v>
      </c>
      <c r="H13" s="283">
        <f t="shared" si="0"/>
        <v>0</v>
      </c>
      <c r="I13" s="283">
        <f t="shared" si="0"/>
        <v>0</v>
      </c>
      <c r="J13" s="283">
        <f t="shared" si="0"/>
        <v>0</v>
      </c>
      <c r="K13" s="283">
        <f t="shared" si="0"/>
        <v>0</v>
      </c>
      <c r="L13" s="283">
        <f t="shared" si="0"/>
        <v>628.81100000000004</v>
      </c>
      <c r="M13" s="283">
        <f t="shared" si="0"/>
        <v>98</v>
      </c>
      <c r="N13" s="283">
        <f t="shared" si="0"/>
        <v>405.09699999999998</v>
      </c>
      <c r="O13" s="283">
        <f t="shared" si="0"/>
        <v>0</v>
      </c>
      <c r="P13" s="283">
        <f t="shared" si="0"/>
        <v>0</v>
      </c>
      <c r="Q13" s="283">
        <f t="shared" si="0"/>
        <v>0</v>
      </c>
      <c r="R13" s="283">
        <f t="shared" si="0"/>
        <v>0</v>
      </c>
      <c r="S13" s="283">
        <f t="shared" si="0"/>
        <v>0</v>
      </c>
      <c r="T13" s="283">
        <f t="shared" si="0"/>
        <v>0</v>
      </c>
      <c r="U13" s="283">
        <f t="shared" si="0"/>
        <v>0</v>
      </c>
      <c r="V13" s="283">
        <f t="shared" si="0"/>
        <v>424.83699999999999</v>
      </c>
      <c r="W13" s="283">
        <f t="shared" si="0"/>
        <v>0</v>
      </c>
      <c r="X13" s="283">
        <f t="shared" si="0"/>
        <v>0</v>
      </c>
      <c r="Y13" s="283">
        <f t="shared" si="0"/>
        <v>0</v>
      </c>
      <c r="Z13" s="283">
        <f t="shared" si="0"/>
        <v>423.37099999999998</v>
      </c>
      <c r="AA13" s="283">
        <f t="shared" si="0"/>
        <v>0</v>
      </c>
      <c r="AB13" s="283">
        <f t="shared" si="0"/>
        <v>0</v>
      </c>
      <c r="AC13" s="283">
        <f t="shared" si="0"/>
        <v>0</v>
      </c>
      <c r="AD13" s="283">
        <f t="shared" si="0"/>
        <v>159.09700000000001</v>
      </c>
      <c r="AE13" s="283">
        <f t="shared" si="0"/>
        <v>0</v>
      </c>
      <c r="AF13" s="283">
        <f t="shared" si="0"/>
        <v>625.77200000000005</v>
      </c>
      <c r="AG13" s="283">
        <f t="shared" si="0"/>
        <v>49</v>
      </c>
      <c r="AH13" s="283">
        <f t="shared" si="0"/>
        <v>358.375</v>
      </c>
      <c r="AI13" s="283">
        <f t="shared" si="0"/>
        <v>34</v>
      </c>
      <c r="AJ13" s="283">
        <f t="shared" si="0"/>
        <v>541.69100000000003</v>
      </c>
      <c r="AK13" s="283">
        <f t="shared" si="0"/>
        <v>49</v>
      </c>
      <c r="AL13" s="283">
        <f t="shared" si="0"/>
        <v>274.61599999999999</v>
      </c>
      <c r="AM13" s="283">
        <f t="shared" si="0"/>
        <v>0</v>
      </c>
    </row>
    <row r="14" spans="1:39" x14ac:dyDescent="0.2">
      <c r="A14" s="188">
        <v>6</v>
      </c>
      <c r="B14" s="278" t="s">
        <v>300</v>
      </c>
      <c r="C14" s="188" t="s">
        <v>425</v>
      </c>
      <c r="D14" s="283"/>
      <c r="E14" s="283"/>
      <c r="F14" s="283"/>
      <c r="G14" s="283"/>
      <c r="H14" s="283"/>
      <c r="I14" s="283"/>
      <c r="J14" s="283"/>
      <c r="K14" s="283"/>
      <c r="L14" s="283"/>
      <c r="M14" s="283"/>
      <c r="N14" s="283"/>
      <c r="O14" s="283"/>
      <c r="P14" s="283"/>
      <c r="Q14" s="283"/>
      <c r="R14" s="283"/>
      <c r="S14" s="283"/>
      <c r="T14" s="283"/>
      <c r="U14" s="283"/>
      <c r="V14" s="283"/>
      <c r="W14" s="284"/>
      <c r="X14" s="284"/>
      <c r="Y14" s="284"/>
      <c r="Z14" s="284"/>
      <c r="AA14" s="284"/>
      <c r="AB14" s="284"/>
      <c r="AC14" s="284"/>
      <c r="AD14" s="284"/>
      <c r="AE14" s="284"/>
      <c r="AF14" s="284"/>
      <c r="AG14" s="284"/>
      <c r="AH14" s="284"/>
      <c r="AI14" s="284"/>
      <c r="AJ14" s="284"/>
      <c r="AK14" s="284"/>
      <c r="AL14" s="284"/>
      <c r="AM14" s="284"/>
    </row>
    <row r="15" spans="1:39" x14ac:dyDescent="0.2">
      <c r="A15" s="188">
        <v>7</v>
      </c>
      <c r="B15" s="278" t="s">
        <v>430</v>
      </c>
      <c r="C15" s="188" t="s">
        <v>425</v>
      </c>
      <c r="D15" s="283">
        <f>D13-D14</f>
        <v>292.27999999999997</v>
      </c>
      <c r="E15" s="283">
        <f t="shared" ref="E15:AM15" si="1">E13-E14</f>
        <v>0</v>
      </c>
      <c r="F15" s="283">
        <f t="shared" si="1"/>
        <v>0</v>
      </c>
      <c r="G15" s="283">
        <f t="shared" si="1"/>
        <v>0</v>
      </c>
      <c r="H15" s="283">
        <f t="shared" si="1"/>
        <v>0</v>
      </c>
      <c r="I15" s="283">
        <f t="shared" si="1"/>
        <v>0</v>
      </c>
      <c r="J15" s="283">
        <f t="shared" si="1"/>
        <v>0</v>
      </c>
      <c r="K15" s="283">
        <f t="shared" si="1"/>
        <v>0</v>
      </c>
      <c r="L15" s="283">
        <f t="shared" si="1"/>
        <v>628.81100000000004</v>
      </c>
      <c r="M15" s="283">
        <f t="shared" si="1"/>
        <v>98</v>
      </c>
      <c r="N15" s="283">
        <f t="shared" si="1"/>
        <v>405.09699999999998</v>
      </c>
      <c r="O15" s="283">
        <f t="shared" si="1"/>
        <v>0</v>
      </c>
      <c r="P15" s="283">
        <f t="shared" si="1"/>
        <v>0</v>
      </c>
      <c r="Q15" s="283">
        <f t="shared" si="1"/>
        <v>0</v>
      </c>
      <c r="R15" s="283">
        <f t="shared" si="1"/>
        <v>0</v>
      </c>
      <c r="S15" s="283">
        <f t="shared" si="1"/>
        <v>0</v>
      </c>
      <c r="T15" s="283">
        <f t="shared" si="1"/>
        <v>0</v>
      </c>
      <c r="U15" s="283">
        <f t="shared" si="1"/>
        <v>0</v>
      </c>
      <c r="V15" s="283">
        <f t="shared" si="1"/>
        <v>424.83699999999999</v>
      </c>
      <c r="W15" s="283">
        <f t="shared" si="1"/>
        <v>0</v>
      </c>
      <c r="X15" s="283">
        <f t="shared" si="1"/>
        <v>0</v>
      </c>
      <c r="Y15" s="283">
        <f t="shared" si="1"/>
        <v>0</v>
      </c>
      <c r="Z15" s="283">
        <f t="shared" si="1"/>
        <v>423.37099999999998</v>
      </c>
      <c r="AA15" s="283">
        <f t="shared" si="1"/>
        <v>0</v>
      </c>
      <c r="AB15" s="283">
        <f t="shared" si="1"/>
        <v>0</v>
      </c>
      <c r="AC15" s="283">
        <f t="shared" si="1"/>
        <v>0</v>
      </c>
      <c r="AD15" s="283">
        <f t="shared" si="1"/>
        <v>159.09700000000001</v>
      </c>
      <c r="AE15" s="283">
        <f t="shared" si="1"/>
        <v>0</v>
      </c>
      <c r="AF15" s="283">
        <f t="shared" si="1"/>
        <v>625.77200000000005</v>
      </c>
      <c r="AG15" s="283">
        <f t="shared" si="1"/>
        <v>49</v>
      </c>
      <c r="AH15" s="283">
        <f t="shared" si="1"/>
        <v>358.375</v>
      </c>
      <c r="AI15" s="283">
        <f t="shared" si="1"/>
        <v>34</v>
      </c>
      <c r="AJ15" s="283">
        <f t="shared" si="1"/>
        <v>541.69100000000003</v>
      </c>
      <c r="AK15" s="283">
        <f t="shared" si="1"/>
        <v>49</v>
      </c>
      <c r="AL15" s="283">
        <f t="shared" si="1"/>
        <v>274.61599999999999</v>
      </c>
      <c r="AM15" s="283">
        <f t="shared" si="1"/>
        <v>0</v>
      </c>
    </row>
    <row r="16" spans="1:39" ht="15.75" x14ac:dyDescent="0.2">
      <c r="A16" s="185" t="s">
        <v>68</v>
      </c>
      <c r="B16" s="277" t="s">
        <v>302</v>
      </c>
      <c r="C16" s="188"/>
      <c r="D16" s="283"/>
      <c r="E16" s="283"/>
      <c r="F16" s="283"/>
      <c r="G16" s="283"/>
      <c r="H16" s="283"/>
      <c r="I16" s="283"/>
      <c r="J16" s="283"/>
      <c r="K16" s="283"/>
      <c r="L16" s="283"/>
      <c r="M16" s="283"/>
      <c r="N16" s="283"/>
      <c r="O16" s="283"/>
      <c r="P16" s="283"/>
      <c r="Q16" s="283"/>
      <c r="R16" s="283"/>
      <c r="S16" s="283"/>
      <c r="T16" s="283"/>
      <c r="U16" s="283"/>
      <c r="V16" s="283"/>
      <c r="W16" s="284"/>
      <c r="X16" s="284"/>
      <c r="Y16" s="284"/>
      <c r="Z16" s="284"/>
      <c r="AA16" s="284"/>
      <c r="AB16" s="284"/>
      <c r="AC16" s="284"/>
      <c r="AD16" s="284"/>
      <c r="AE16" s="284"/>
      <c r="AF16" s="284"/>
      <c r="AG16" s="284"/>
      <c r="AH16" s="284"/>
      <c r="AI16" s="284"/>
      <c r="AJ16" s="284"/>
      <c r="AK16" s="284"/>
      <c r="AL16" s="284"/>
      <c r="AM16" s="284"/>
    </row>
    <row r="17" spans="1:39" x14ac:dyDescent="0.2">
      <c r="A17" s="188">
        <v>8</v>
      </c>
      <c r="B17" s="278" t="s">
        <v>431</v>
      </c>
      <c r="C17" s="188" t="s">
        <v>426</v>
      </c>
      <c r="D17" s="283">
        <v>1.8748502</v>
      </c>
      <c r="E17" s="283">
        <v>0</v>
      </c>
      <c r="F17" s="283">
        <v>0</v>
      </c>
      <c r="G17" s="283">
        <v>0</v>
      </c>
      <c r="H17" s="283">
        <v>0</v>
      </c>
      <c r="I17" s="283">
        <v>0</v>
      </c>
      <c r="J17" s="283">
        <v>0</v>
      </c>
      <c r="K17" s="283">
        <v>0</v>
      </c>
      <c r="L17" s="283">
        <v>4.1285243080000003</v>
      </c>
      <c r="M17" s="283">
        <v>0.75624119999999995</v>
      </c>
      <c r="N17" s="283">
        <v>2.4328401999999998</v>
      </c>
      <c r="O17" s="283">
        <v>0</v>
      </c>
      <c r="P17" s="283">
        <v>0</v>
      </c>
      <c r="Q17" s="283">
        <v>0</v>
      </c>
      <c r="R17" s="283">
        <v>0</v>
      </c>
      <c r="S17" s="283">
        <v>0</v>
      </c>
      <c r="T17" s="283">
        <v>0</v>
      </c>
      <c r="U17" s="283">
        <v>0</v>
      </c>
      <c r="V17" s="283">
        <v>2.6084981549999999</v>
      </c>
      <c r="W17" s="284">
        <v>0</v>
      </c>
      <c r="X17" s="284">
        <v>0</v>
      </c>
      <c r="Y17" s="284">
        <v>0</v>
      </c>
      <c r="Z17" s="284">
        <v>2.7399534879999998</v>
      </c>
      <c r="AA17" s="284">
        <v>0</v>
      </c>
      <c r="AB17" s="284">
        <v>0</v>
      </c>
      <c r="AC17" s="284">
        <v>0</v>
      </c>
      <c r="AD17" s="284">
        <v>0.91484645600000003</v>
      </c>
      <c r="AE17" s="284">
        <v>0</v>
      </c>
      <c r="AF17" s="284">
        <v>3.74190595</v>
      </c>
      <c r="AG17" s="284">
        <v>0.33928775999999999</v>
      </c>
      <c r="AH17" s="284">
        <v>2.1820983200000001</v>
      </c>
      <c r="AI17" s="284">
        <v>0.25088939999999998</v>
      </c>
      <c r="AJ17" s="284">
        <v>3.2564035680000001</v>
      </c>
      <c r="AK17" s="284">
        <v>0.37189823999999999</v>
      </c>
      <c r="AL17" s="284">
        <v>1.6284339999999999</v>
      </c>
      <c r="AM17" s="284">
        <v>0</v>
      </c>
    </row>
    <row r="18" spans="1:39" x14ac:dyDescent="0.2">
      <c r="A18" s="188">
        <v>9</v>
      </c>
      <c r="B18" s="278" t="s">
        <v>432</v>
      </c>
      <c r="C18" s="188" t="s">
        <v>426</v>
      </c>
      <c r="D18" s="283"/>
      <c r="E18" s="283"/>
      <c r="F18" s="283"/>
      <c r="G18" s="283"/>
      <c r="H18" s="283"/>
      <c r="I18" s="283"/>
      <c r="J18" s="283"/>
      <c r="K18" s="283"/>
      <c r="L18" s="283"/>
      <c r="M18" s="283"/>
      <c r="N18" s="283"/>
      <c r="O18" s="283"/>
      <c r="P18" s="283"/>
      <c r="Q18" s="283"/>
      <c r="R18" s="283"/>
      <c r="S18" s="283"/>
      <c r="T18" s="283"/>
      <c r="U18" s="283"/>
      <c r="V18" s="283"/>
      <c r="W18" s="284"/>
      <c r="X18" s="284"/>
      <c r="Y18" s="284"/>
      <c r="Z18" s="284"/>
      <c r="AA18" s="284"/>
      <c r="AB18" s="284"/>
      <c r="AC18" s="284"/>
      <c r="AD18" s="284"/>
      <c r="AE18" s="284"/>
      <c r="AF18" s="284"/>
      <c r="AG18" s="284"/>
      <c r="AH18" s="284"/>
      <c r="AI18" s="284"/>
      <c r="AJ18" s="284"/>
      <c r="AK18" s="284"/>
      <c r="AL18" s="284"/>
      <c r="AM18" s="284"/>
    </row>
    <row r="19" spans="1:39" x14ac:dyDescent="0.2">
      <c r="A19" s="188">
        <v>10</v>
      </c>
      <c r="B19" s="278" t="s">
        <v>305</v>
      </c>
      <c r="C19" s="188" t="s">
        <v>426</v>
      </c>
      <c r="D19" s="283"/>
      <c r="E19" s="283"/>
      <c r="F19" s="283"/>
      <c r="G19" s="283"/>
      <c r="H19" s="283"/>
      <c r="I19" s="283"/>
      <c r="J19" s="283"/>
      <c r="K19" s="283"/>
      <c r="L19" s="283"/>
      <c r="M19" s="283"/>
      <c r="N19" s="283"/>
      <c r="O19" s="283"/>
      <c r="P19" s="283"/>
      <c r="Q19" s="283"/>
      <c r="R19" s="283"/>
      <c r="S19" s="283"/>
      <c r="T19" s="283"/>
      <c r="U19" s="283"/>
      <c r="V19" s="283"/>
      <c r="W19" s="284"/>
      <c r="X19" s="284"/>
      <c r="Y19" s="284"/>
      <c r="Z19" s="284"/>
      <c r="AA19" s="284"/>
      <c r="AB19" s="284"/>
      <c r="AC19" s="284"/>
      <c r="AD19" s="284"/>
      <c r="AE19" s="284"/>
      <c r="AF19" s="284"/>
      <c r="AG19" s="284"/>
      <c r="AH19" s="284"/>
      <c r="AI19" s="284"/>
      <c r="AJ19" s="284"/>
      <c r="AK19" s="284"/>
      <c r="AL19" s="284"/>
      <c r="AM19" s="284"/>
    </row>
    <row r="20" spans="1:39" x14ac:dyDescent="0.2">
      <c r="A20" s="188">
        <v>11</v>
      </c>
      <c r="B20" s="278" t="s">
        <v>306</v>
      </c>
      <c r="C20" s="188" t="s">
        <v>426</v>
      </c>
      <c r="D20" s="283">
        <f>SUM(D17:D19)</f>
        <v>1.8748502</v>
      </c>
      <c r="E20" s="283">
        <f t="shared" ref="E20:AM20" si="2">SUM(E17:E19)</f>
        <v>0</v>
      </c>
      <c r="F20" s="283">
        <f t="shared" si="2"/>
        <v>0</v>
      </c>
      <c r="G20" s="283">
        <f t="shared" si="2"/>
        <v>0</v>
      </c>
      <c r="H20" s="283">
        <f t="shared" si="2"/>
        <v>0</v>
      </c>
      <c r="I20" s="283">
        <f t="shared" si="2"/>
        <v>0</v>
      </c>
      <c r="J20" s="283">
        <f t="shared" si="2"/>
        <v>0</v>
      </c>
      <c r="K20" s="283">
        <f t="shared" si="2"/>
        <v>0</v>
      </c>
      <c r="L20" s="283">
        <f t="shared" si="2"/>
        <v>4.1285243080000003</v>
      </c>
      <c r="M20" s="283">
        <f t="shared" si="2"/>
        <v>0.75624119999999995</v>
      </c>
      <c r="N20" s="283">
        <f t="shared" si="2"/>
        <v>2.4328401999999998</v>
      </c>
      <c r="O20" s="283">
        <f t="shared" si="2"/>
        <v>0</v>
      </c>
      <c r="P20" s="283">
        <f t="shared" si="2"/>
        <v>0</v>
      </c>
      <c r="Q20" s="283">
        <f t="shared" si="2"/>
        <v>0</v>
      </c>
      <c r="R20" s="283">
        <f t="shared" si="2"/>
        <v>0</v>
      </c>
      <c r="S20" s="283">
        <f t="shared" si="2"/>
        <v>0</v>
      </c>
      <c r="T20" s="283">
        <f t="shared" si="2"/>
        <v>0</v>
      </c>
      <c r="U20" s="283">
        <f t="shared" si="2"/>
        <v>0</v>
      </c>
      <c r="V20" s="283">
        <f t="shared" si="2"/>
        <v>2.6084981549999999</v>
      </c>
      <c r="W20" s="283">
        <f t="shared" si="2"/>
        <v>0</v>
      </c>
      <c r="X20" s="283">
        <f t="shared" si="2"/>
        <v>0</v>
      </c>
      <c r="Y20" s="283">
        <f t="shared" si="2"/>
        <v>0</v>
      </c>
      <c r="Z20" s="283">
        <f t="shared" si="2"/>
        <v>2.7399534879999998</v>
      </c>
      <c r="AA20" s="283">
        <f t="shared" si="2"/>
        <v>0</v>
      </c>
      <c r="AB20" s="283">
        <f t="shared" si="2"/>
        <v>0</v>
      </c>
      <c r="AC20" s="283">
        <f t="shared" si="2"/>
        <v>0</v>
      </c>
      <c r="AD20" s="283">
        <f t="shared" si="2"/>
        <v>0.91484645600000003</v>
      </c>
      <c r="AE20" s="283">
        <f t="shared" si="2"/>
        <v>0</v>
      </c>
      <c r="AF20" s="283">
        <f t="shared" si="2"/>
        <v>3.74190595</v>
      </c>
      <c r="AG20" s="283">
        <f t="shared" si="2"/>
        <v>0.33928775999999999</v>
      </c>
      <c r="AH20" s="283">
        <f t="shared" si="2"/>
        <v>2.1820983200000001</v>
      </c>
      <c r="AI20" s="283">
        <f t="shared" si="2"/>
        <v>0.25088939999999998</v>
      </c>
      <c r="AJ20" s="283">
        <f t="shared" si="2"/>
        <v>3.2564035680000001</v>
      </c>
      <c r="AK20" s="283">
        <f t="shared" si="2"/>
        <v>0.37189823999999999</v>
      </c>
      <c r="AL20" s="283">
        <f t="shared" si="2"/>
        <v>1.6284339999999999</v>
      </c>
      <c r="AM20" s="283">
        <f t="shared" si="2"/>
        <v>0</v>
      </c>
    </row>
    <row r="21" spans="1:39" ht="15.75" x14ac:dyDescent="0.2">
      <c r="A21" s="185" t="s">
        <v>307</v>
      </c>
      <c r="B21" s="277" t="s">
        <v>308</v>
      </c>
      <c r="C21" s="188"/>
      <c r="D21" s="283"/>
      <c r="E21" s="283"/>
      <c r="F21" s="283"/>
      <c r="G21" s="283"/>
      <c r="H21" s="283"/>
      <c r="I21" s="283"/>
      <c r="J21" s="283"/>
      <c r="K21" s="283"/>
      <c r="L21" s="283"/>
      <c r="M21" s="283"/>
      <c r="N21" s="283"/>
      <c r="O21" s="283"/>
      <c r="P21" s="283"/>
      <c r="Q21" s="283"/>
      <c r="R21" s="283"/>
      <c r="S21" s="283"/>
      <c r="T21" s="283"/>
      <c r="U21" s="283"/>
      <c r="V21" s="283"/>
      <c r="W21" s="284"/>
      <c r="X21" s="284"/>
      <c r="Y21" s="284"/>
      <c r="Z21" s="284"/>
      <c r="AA21" s="284"/>
      <c r="AB21" s="284"/>
      <c r="AC21" s="284"/>
      <c r="AD21" s="284"/>
      <c r="AE21" s="284"/>
      <c r="AF21" s="284"/>
      <c r="AG21" s="284"/>
      <c r="AH21" s="284"/>
      <c r="AI21" s="284"/>
      <c r="AJ21" s="284"/>
      <c r="AK21" s="284"/>
      <c r="AL21" s="284"/>
      <c r="AM21" s="284"/>
    </row>
    <row r="22" spans="1:39" x14ac:dyDescent="0.2">
      <c r="A22" s="188">
        <v>12</v>
      </c>
      <c r="B22" s="278" t="s">
        <v>309</v>
      </c>
      <c r="C22" s="188"/>
      <c r="D22" s="283"/>
      <c r="E22" s="283"/>
      <c r="F22" s="283"/>
      <c r="G22" s="283"/>
      <c r="H22" s="283"/>
      <c r="I22" s="283"/>
      <c r="J22" s="283"/>
      <c r="K22" s="283"/>
      <c r="L22" s="283"/>
      <c r="M22" s="283"/>
      <c r="N22" s="283"/>
      <c r="O22" s="283"/>
      <c r="P22" s="283"/>
      <c r="Q22" s="283"/>
      <c r="R22" s="283"/>
      <c r="S22" s="283"/>
      <c r="T22" s="283"/>
      <c r="U22" s="283"/>
      <c r="V22" s="283"/>
      <c r="W22" s="284"/>
      <c r="X22" s="284"/>
      <c r="Y22" s="284"/>
      <c r="Z22" s="284"/>
      <c r="AA22" s="284"/>
      <c r="AB22" s="284"/>
      <c r="AC22" s="284"/>
      <c r="AD22" s="284"/>
      <c r="AE22" s="284"/>
      <c r="AF22" s="284"/>
      <c r="AG22" s="284"/>
      <c r="AH22" s="284"/>
      <c r="AI22" s="284"/>
      <c r="AJ22" s="284"/>
      <c r="AK22" s="284"/>
      <c r="AL22" s="284"/>
      <c r="AM22" s="284"/>
    </row>
    <row r="23" spans="1:39" x14ac:dyDescent="0.2">
      <c r="A23" s="188"/>
      <c r="B23" s="278" t="s">
        <v>310</v>
      </c>
      <c r="C23" s="188" t="s">
        <v>426</v>
      </c>
      <c r="D23" s="283"/>
      <c r="E23" s="283"/>
      <c r="F23" s="283"/>
      <c r="G23" s="283"/>
      <c r="H23" s="283"/>
      <c r="I23" s="283"/>
      <c r="J23" s="283"/>
      <c r="K23" s="283"/>
      <c r="L23" s="283"/>
      <c r="M23" s="283"/>
      <c r="N23" s="283"/>
      <c r="O23" s="283"/>
      <c r="P23" s="283"/>
      <c r="Q23" s="283"/>
      <c r="R23" s="283"/>
      <c r="S23" s="283"/>
      <c r="T23" s="283"/>
      <c r="U23" s="283"/>
      <c r="V23" s="283"/>
      <c r="W23" s="284"/>
      <c r="X23" s="284"/>
      <c r="Y23" s="284"/>
      <c r="Z23" s="284"/>
      <c r="AA23" s="284"/>
      <c r="AB23" s="284"/>
      <c r="AC23" s="284"/>
      <c r="AD23" s="284"/>
      <c r="AE23" s="284"/>
      <c r="AF23" s="284"/>
      <c r="AG23" s="284"/>
      <c r="AH23" s="284"/>
      <c r="AI23" s="284"/>
      <c r="AJ23" s="284"/>
      <c r="AK23" s="284"/>
      <c r="AL23" s="284"/>
      <c r="AM23" s="284"/>
    </row>
    <row r="24" spans="1:39" x14ac:dyDescent="0.2">
      <c r="A24" s="188"/>
      <c r="B24" s="278" t="s">
        <v>311</v>
      </c>
      <c r="C24" s="188" t="s">
        <v>426</v>
      </c>
      <c r="D24" s="283"/>
      <c r="E24" s="283"/>
      <c r="F24" s="283"/>
      <c r="G24" s="283"/>
      <c r="H24" s="283"/>
      <c r="I24" s="283"/>
      <c r="J24" s="283"/>
      <c r="K24" s="283"/>
      <c r="L24" s="283"/>
      <c r="M24" s="283"/>
      <c r="N24" s="283"/>
      <c r="O24" s="283"/>
      <c r="P24" s="283"/>
      <c r="Q24" s="283"/>
      <c r="R24" s="283"/>
      <c r="S24" s="283"/>
      <c r="T24" s="283"/>
      <c r="U24" s="283"/>
      <c r="V24" s="283"/>
      <c r="W24" s="284"/>
      <c r="X24" s="284"/>
      <c r="Y24" s="284"/>
      <c r="Z24" s="284"/>
      <c r="AA24" s="284"/>
      <c r="AB24" s="284"/>
      <c r="AC24" s="284"/>
      <c r="AD24" s="284"/>
      <c r="AE24" s="284"/>
      <c r="AF24" s="284"/>
      <c r="AG24" s="284"/>
      <c r="AH24" s="284"/>
      <c r="AI24" s="284"/>
      <c r="AJ24" s="284"/>
      <c r="AK24" s="284"/>
      <c r="AL24" s="284"/>
      <c r="AM24" s="284"/>
    </row>
    <row r="25" spans="1:39" x14ac:dyDescent="0.2">
      <c r="A25" s="188"/>
      <c r="B25" s="278" t="s">
        <v>312</v>
      </c>
      <c r="C25" s="188" t="s">
        <v>426</v>
      </c>
      <c r="D25" s="283"/>
      <c r="E25" s="283"/>
      <c r="F25" s="283"/>
      <c r="G25" s="283"/>
      <c r="H25" s="283"/>
      <c r="I25" s="283"/>
      <c r="J25" s="283"/>
      <c r="K25" s="283"/>
      <c r="L25" s="283"/>
      <c r="M25" s="283"/>
      <c r="N25" s="283"/>
      <c r="O25" s="283"/>
      <c r="P25" s="283"/>
      <c r="Q25" s="283"/>
      <c r="R25" s="283"/>
      <c r="S25" s="283"/>
      <c r="T25" s="283"/>
      <c r="U25" s="283"/>
      <c r="V25" s="283"/>
      <c r="W25" s="284"/>
      <c r="X25" s="284"/>
      <c r="Y25" s="284"/>
      <c r="Z25" s="284"/>
      <c r="AA25" s="284"/>
      <c r="AB25" s="284"/>
      <c r="AC25" s="284"/>
      <c r="AD25" s="284"/>
      <c r="AE25" s="284"/>
      <c r="AF25" s="284"/>
      <c r="AG25" s="284"/>
      <c r="AH25" s="284"/>
      <c r="AI25" s="284"/>
      <c r="AJ25" s="284"/>
      <c r="AK25" s="284"/>
      <c r="AL25" s="284"/>
      <c r="AM25" s="284"/>
    </row>
    <row r="26" spans="1:39" s="282" customFormat="1" x14ac:dyDescent="0.2">
      <c r="A26" s="280"/>
      <c r="B26" s="281" t="s">
        <v>9</v>
      </c>
      <c r="C26" s="280" t="s">
        <v>426</v>
      </c>
      <c r="D26" s="285"/>
      <c r="E26" s="285"/>
      <c r="F26" s="285"/>
      <c r="G26" s="285"/>
      <c r="H26" s="285"/>
      <c r="I26" s="285"/>
      <c r="J26" s="285"/>
      <c r="K26" s="285"/>
      <c r="L26" s="285"/>
      <c r="M26" s="285"/>
      <c r="N26" s="285"/>
      <c r="O26" s="285"/>
      <c r="P26" s="285"/>
      <c r="Q26" s="285"/>
      <c r="R26" s="285"/>
      <c r="S26" s="285"/>
      <c r="T26" s="285"/>
      <c r="U26" s="285"/>
      <c r="V26" s="285"/>
      <c r="W26" s="286"/>
      <c r="X26" s="286"/>
      <c r="Y26" s="286"/>
      <c r="Z26" s="286"/>
      <c r="AA26" s="286"/>
      <c r="AB26" s="286"/>
      <c r="AC26" s="286"/>
      <c r="AD26" s="286"/>
      <c r="AE26" s="286"/>
      <c r="AF26" s="286"/>
      <c r="AG26" s="286"/>
      <c r="AH26" s="286"/>
      <c r="AI26" s="286"/>
      <c r="AJ26" s="286"/>
      <c r="AK26" s="286"/>
      <c r="AL26" s="286"/>
      <c r="AM26" s="286"/>
    </row>
    <row r="27" spans="1:39" x14ac:dyDescent="0.2">
      <c r="A27" s="188">
        <v>13</v>
      </c>
      <c r="B27" s="278" t="s">
        <v>433</v>
      </c>
      <c r="C27" s="188" t="s">
        <v>426</v>
      </c>
      <c r="D27" s="283"/>
      <c r="E27" s="283"/>
      <c r="F27" s="283"/>
      <c r="G27" s="283"/>
      <c r="H27" s="283"/>
      <c r="I27" s="283"/>
      <c r="J27" s="283"/>
      <c r="K27" s="283"/>
      <c r="L27" s="283"/>
      <c r="M27" s="283"/>
      <c r="N27" s="283"/>
      <c r="O27" s="283"/>
      <c r="P27" s="283"/>
      <c r="Q27" s="283"/>
      <c r="R27" s="283"/>
      <c r="S27" s="283"/>
      <c r="T27" s="283"/>
      <c r="U27" s="283"/>
      <c r="V27" s="283"/>
      <c r="W27" s="284"/>
      <c r="X27" s="284"/>
      <c r="Y27" s="284"/>
      <c r="Z27" s="284"/>
      <c r="AA27" s="284"/>
      <c r="AB27" s="284"/>
      <c r="AC27" s="284"/>
      <c r="AD27" s="284"/>
      <c r="AE27" s="284"/>
      <c r="AF27" s="284"/>
      <c r="AG27" s="284"/>
      <c r="AH27" s="284"/>
      <c r="AI27" s="284"/>
      <c r="AJ27" s="284"/>
      <c r="AK27" s="284"/>
      <c r="AL27" s="284"/>
      <c r="AM27" s="284"/>
    </row>
    <row r="28" spans="1:39" x14ac:dyDescent="0.2">
      <c r="A28" s="188">
        <v>14</v>
      </c>
      <c r="B28" s="278" t="s">
        <v>314</v>
      </c>
      <c r="C28" s="188" t="s">
        <v>426</v>
      </c>
      <c r="D28" s="283"/>
      <c r="E28" s="283"/>
      <c r="F28" s="283"/>
      <c r="G28" s="283"/>
      <c r="H28" s="283"/>
      <c r="I28" s="283"/>
      <c r="J28" s="283"/>
      <c r="K28" s="283"/>
      <c r="L28" s="283"/>
      <c r="M28" s="283"/>
      <c r="N28" s="283"/>
      <c r="O28" s="283"/>
      <c r="P28" s="283"/>
      <c r="Q28" s="283"/>
      <c r="R28" s="283"/>
      <c r="S28" s="283"/>
      <c r="T28" s="283"/>
      <c r="U28" s="283"/>
      <c r="V28" s="283"/>
      <c r="W28" s="284"/>
      <c r="X28" s="284"/>
      <c r="Y28" s="284"/>
      <c r="Z28" s="284"/>
      <c r="AA28" s="284"/>
      <c r="AB28" s="284"/>
      <c r="AC28" s="284"/>
      <c r="AD28" s="284"/>
      <c r="AE28" s="284"/>
      <c r="AF28" s="284"/>
      <c r="AG28" s="284"/>
      <c r="AH28" s="284"/>
      <c r="AI28" s="284"/>
      <c r="AJ28" s="284"/>
      <c r="AK28" s="284"/>
      <c r="AL28" s="284"/>
      <c r="AM28" s="284"/>
    </row>
    <row r="29" spans="1:39" ht="31.5" customHeight="1" x14ac:dyDescent="0.2">
      <c r="A29" s="188">
        <v>15</v>
      </c>
      <c r="B29" s="278" t="s">
        <v>434</v>
      </c>
      <c r="C29" s="188" t="s">
        <v>426</v>
      </c>
      <c r="D29" s="283"/>
      <c r="E29" s="283"/>
      <c r="F29" s="283"/>
      <c r="G29" s="283"/>
      <c r="H29" s="283"/>
      <c r="I29" s="283"/>
      <c r="J29" s="283"/>
      <c r="K29" s="283"/>
      <c r="L29" s="283"/>
      <c r="M29" s="283"/>
      <c r="N29" s="283"/>
      <c r="O29" s="283"/>
      <c r="P29" s="283"/>
      <c r="Q29" s="283"/>
      <c r="R29" s="283"/>
      <c r="S29" s="283"/>
      <c r="T29" s="283"/>
      <c r="U29" s="283"/>
      <c r="V29" s="283"/>
      <c r="W29" s="284"/>
      <c r="X29" s="284"/>
      <c r="Y29" s="284"/>
      <c r="Z29" s="284"/>
      <c r="AA29" s="284"/>
      <c r="AB29" s="284"/>
      <c r="AC29" s="284"/>
      <c r="AD29" s="284"/>
      <c r="AE29" s="284"/>
      <c r="AF29" s="284"/>
      <c r="AG29" s="284"/>
      <c r="AH29" s="284"/>
      <c r="AI29" s="284"/>
      <c r="AJ29" s="284"/>
      <c r="AK29" s="284"/>
      <c r="AL29" s="284"/>
      <c r="AM29" s="284"/>
    </row>
    <row r="30" spans="1:39" x14ac:dyDescent="0.2">
      <c r="A30" s="188">
        <v>16</v>
      </c>
      <c r="B30" s="278" t="s">
        <v>315</v>
      </c>
      <c r="C30" s="188" t="s">
        <v>426</v>
      </c>
      <c r="D30" s="283">
        <f t="shared" ref="D30:S30" si="3">SUM(D27)</f>
        <v>0</v>
      </c>
      <c r="E30" s="283">
        <f t="shared" si="3"/>
        <v>0</v>
      </c>
      <c r="F30" s="283">
        <f t="shared" si="3"/>
        <v>0</v>
      </c>
      <c r="G30" s="283">
        <f t="shared" si="3"/>
        <v>0</v>
      </c>
      <c r="H30" s="283">
        <f t="shared" si="3"/>
        <v>0</v>
      </c>
      <c r="I30" s="283">
        <f t="shared" si="3"/>
        <v>0</v>
      </c>
      <c r="J30" s="283">
        <f t="shared" si="3"/>
        <v>0</v>
      </c>
      <c r="K30" s="283">
        <f t="shared" si="3"/>
        <v>0</v>
      </c>
      <c r="L30" s="283">
        <f t="shared" si="3"/>
        <v>0</v>
      </c>
      <c r="M30" s="283">
        <f t="shared" si="3"/>
        <v>0</v>
      </c>
      <c r="N30" s="283">
        <f t="shared" si="3"/>
        <v>0</v>
      </c>
      <c r="O30" s="283">
        <f t="shared" si="3"/>
        <v>0</v>
      </c>
      <c r="P30" s="283">
        <f t="shared" si="3"/>
        <v>0</v>
      </c>
      <c r="Q30" s="283">
        <f t="shared" si="3"/>
        <v>0</v>
      </c>
      <c r="R30" s="283">
        <f t="shared" si="3"/>
        <v>0</v>
      </c>
      <c r="S30" s="283">
        <f t="shared" si="3"/>
        <v>0</v>
      </c>
      <c r="T30" s="283">
        <f t="shared" ref="T30:AM30" si="4">SUM(T27)</f>
        <v>0</v>
      </c>
      <c r="U30" s="283">
        <f t="shared" si="4"/>
        <v>0</v>
      </c>
      <c r="V30" s="283">
        <f t="shared" si="4"/>
        <v>0</v>
      </c>
      <c r="W30" s="283">
        <f t="shared" si="4"/>
        <v>0</v>
      </c>
      <c r="X30" s="283">
        <f t="shared" si="4"/>
        <v>0</v>
      </c>
      <c r="Y30" s="283">
        <f t="shared" si="4"/>
        <v>0</v>
      </c>
      <c r="Z30" s="283">
        <f t="shared" si="4"/>
        <v>0</v>
      </c>
      <c r="AA30" s="283">
        <f t="shared" si="4"/>
        <v>0</v>
      </c>
      <c r="AB30" s="283">
        <f t="shared" si="4"/>
        <v>0</v>
      </c>
      <c r="AC30" s="283">
        <f t="shared" si="4"/>
        <v>0</v>
      </c>
      <c r="AD30" s="283">
        <f t="shared" si="4"/>
        <v>0</v>
      </c>
      <c r="AE30" s="283">
        <f t="shared" si="4"/>
        <v>0</v>
      </c>
      <c r="AF30" s="283">
        <f t="shared" si="4"/>
        <v>0</v>
      </c>
      <c r="AG30" s="283">
        <f t="shared" si="4"/>
        <v>0</v>
      </c>
      <c r="AH30" s="283">
        <f t="shared" si="4"/>
        <v>0</v>
      </c>
      <c r="AI30" s="283">
        <f t="shared" si="4"/>
        <v>0</v>
      </c>
      <c r="AJ30" s="283">
        <f t="shared" si="4"/>
        <v>0</v>
      </c>
      <c r="AK30" s="283">
        <f t="shared" si="4"/>
        <v>0</v>
      </c>
      <c r="AL30" s="283">
        <f t="shared" si="4"/>
        <v>0</v>
      </c>
      <c r="AM30" s="283">
        <f t="shared" si="4"/>
        <v>0</v>
      </c>
    </row>
    <row r="31" spans="1:39" x14ac:dyDescent="0.2">
      <c r="A31" s="188">
        <v>17</v>
      </c>
      <c r="B31" s="278" t="s">
        <v>435</v>
      </c>
      <c r="C31" s="188" t="s">
        <v>426</v>
      </c>
      <c r="D31" s="283">
        <f>D20+D30</f>
        <v>1.8748502</v>
      </c>
      <c r="E31" s="283">
        <f t="shared" ref="E31:AM31" si="5">E20+E30</f>
        <v>0</v>
      </c>
      <c r="F31" s="283">
        <f t="shared" si="5"/>
        <v>0</v>
      </c>
      <c r="G31" s="283">
        <f t="shared" si="5"/>
        <v>0</v>
      </c>
      <c r="H31" s="283">
        <f t="shared" si="5"/>
        <v>0</v>
      </c>
      <c r="I31" s="283">
        <f t="shared" si="5"/>
        <v>0</v>
      </c>
      <c r="J31" s="283">
        <f t="shared" si="5"/>
        <v>0</v>
      </c>
      <c r="K31" s="283">
        <f t="shared" si="5"/>
        <v>0</v>
      </c>
      <c r="L31" s="283">
        <f t="shared" si="5"/>
        <v>4.1285243080000003</v>
      </c>
      <c r="M31" s="283">
        <f t="shared" si="5"/>
        <v>0.75624119999999995</v>
      </c>
      <c r="N31" s="283">
        <f t="shared" si="5"/>
        <v>2.4328401999999998</v>
      </c>
      <c r="O31" s="283">
        <f t="shared" si="5"/>
        <v>0</v>
      </c>
      <c r="P31" s="283">
        <f t="shared" si="5"/>
        <v>0</v>
      </c>
      <c r="Q31" s="283">
        <f t="shared" si="5"/>
        <v>0</v>
      </c>
      <c r="R31" s="283">
        <f t="shared" si="5"/>
        <v>0</v>
      </c>
      <c r="S31" s="283">
        <f t="shared" si="5"/>
        <v>0</v>
      </c>
      <c r="T31" s="283">
        <f t="shared" si="5"/>
        <v>0</v>
      </c>
      <c r="U31" s="283">
        <f t="shared" si="5"/>
        <v>0</v>
      </c>
      <c r="V31" s="283">
        <f t="shared" si="5"/>
        <v>2.6084981549999999</v>
      </c>
      <c r="W31" s="283">
        <f t="shared" si="5"/>
        <v>0</v>
      </c>
      <c r="X31" s="283">
        <f t="shared" si="5"/>
        <v>0</v>
      </c>
      <c r="Y31" s="283">
        <f t="shared" si="5"/>
        <v>0</v>
      </c>
      <c r="Z31" s="283">
        <f t="shared" si="5"/>
        <v>2.7399534879999998</v>
      </c>
      <c r="AA31" s="283">
        <f t="shared" si="5"/>
        <v>0</v>
      </c>
      <c r="AB31" s="283">
        <f t="shared" si="5"/>
        <v>0</v>
      </c>
      <c r="AC31" s="283">
        <f t="shared" si="5"/>
        <v>0</v>
      </c>
      <c r="AD31" s="283">
        <f t="shared" si="5"/>
        <v>0.91484645600000003</v>
      </c>
      <c r="AE31" s="283">
        <f t="shared" si="5"/>
        <v>0</v>
      </c>
      <c r="AF31" s="283">
        <f t="shared" si="5"/>
        <v>3.74190595</v>
      </c>
      <c r="AG31" s="283">
        <f t="shared" si="5"/>
        <v>0.33928775999999999</v>
      </c>
      <c r="AH31" s="283">
        <f t="shared" si="5"/>
        <v>2.1820983200000001</v>
      </c>
      <c r="AI31" s="283">
        <f t="shared" si="5"/>
        <v>0.25088939999999998</v>
      </c>
      <c r="AJ31" s="283">
        <f t="shared" si="5"/>
        <v>3.2564035680000001</v>
      </c>
      <c r="AK31" s="283">
        <f t="shared" si="5"/>
        <v>0.37189823999999999</v>
      </c>
      <c r="AL31" s="283">
        <f t="shared" si="5"/>
        <v>1.6284339999999999</v>
      </c>
      <c r="AM31" s="283">
        <f t="shared" si="5"/>
        <v>0</v>
      </c>
    </row>
    <row r="32" spans="1:39" ht="15.75" x14ac:dyDescent="0.2">
      <c r="A32" s="185" t="s">
        <v>317</v>
      </c>
      <c r="B32" s="277" t="s">
        <v>184</v>
      </c>
      <c r="C32" s="188"/>
      <c r="D32" s="283"/>
      <c r="E32" s="283"/>
      <c r="F32" s="283"/>
      <c r="G32" s="283"/>
      <c r="H32" s="283"/>
      <c r="I32" s="283"/>
      <c r="J32" s="283"/>
      <c r="K32" s="283"/>
      <c r="L32" s="283"/>
      <c r="M32" s="283"/>
      <c r="N32" s="283"/>
      <c r="O32" s="283"/>
      <c r="P32" s="283"/>
      <c r="Q32" s="283"/>
      <c r="R32" s="283"/>
      <c r="S32" s="283"/>
      <c r="T32" s="283"/>
      <c r="U32" s="283"/>
      <c r="V32" s="283"/>
      <c r="W32" s="284"/>
      <c r="X32" s="284"/>
      <c r="Y32" s="284"/>
      <c r="Z32" s="284"/>
      <c r="AA32" s="284"/>
      <c r="AB32" s="284"/>
      <c r="AC32" s="284"/>
      <c r="AD32" s="284"/>
      <c r="AE32" s="284"/>
      <c r="AF32" s="284"/>
      <c r="AG32" s="284"/>
      <c r="AH32" s="284"/>
      <c r="AI32" s="284"/>
      <c r="AJ32" s="284"/>
      <c r="AK32" s="284"/>
      <c r="AL32" s="284"/>
      <c r="AM32" s="284"/>
    </row>
    <row r="33" spans="1:39" s="290" customFormat="1" ht="15.75" x14ac:dyDescent="0.25">
      <c r="A33" s="185">
        <v>18</v>
      </c>
      <c r="B33" s="277" t="s">
        <v>436</v>
      </c>
      <c r="C33" s="185" t="s">
        <v>437</v>
      </c>
      <c r="D33" s="289">
        <f>(D9+D31)/(D8+D15)*10000000</f>
        <v>61101.908884850731</v>
      </c>
      <c r="E33" s="289">
        <f t="shared" ref="E33:AM33" si="6">(E9+E31)/(E8+E15)*10000000</f>
        <v>80860.016551608365</v>
      </c>
      <c r="F33" s="289">
        <f t="shared" si="6"/>
        <v>61101.908884850724</v>
      </c>
      <c r="G33" s="289">
        <f t="shared" si="6"/>
        <v>80860.016551608365</v>
      </c>
      <c r="H33" s="289">
        <f t="shared" si="6"/>
        <v>61101.908884850724</v>
      </c>
      <c r="I33" s="289">
        <f t="shared" si="6"/>
        <v>80860.01655160838</v>
      </c>
      <c r="J33" s="289">
        <f t="shared" si="6"/>
        <v>61101.908884850724</v>
      </c>
      <c r="K33" s="289">
        <f t="shared" si="6"/>
        <v>80860.01655160838</v>
      </c>
      <c r="L33" s="289">
        <f t="shared" si="6"/>
        <v>62509.132719138172</v>
      </c>
      <c r="M33" s="289">
        <f t="shared" si="6"/>
        <v>79140.888292365329</v>
      </c>
      <c r="N33" s="289">
        <f t="shared" si="6"/>
        <v>62005.784201958995</v>
      </c>
      <c r="O33" s="289">
        <f t="shared" si="6"/>
        <v>79140.888292365329</v>
      </c>
      <c r="P33" s="289">
        <f t="shared" si="6"/>
        <v>62005.784201958995</v>
      </c>
      <c r="Q33" s="289">
        <f t="shared" si="6"/>
        <v>79140.888292365329</v>
      </c>
      <c r="R33" s="289">
        <f t="shared" si="6"/>
        <v>62005.784201958988</v>
      </c>
      <c r="S33" s="289">
        <f t="shared" si="6"/>
        <v>79140.888292365315</v>
      </c>
      <c r="T33" s="289">
        <f t="shared" si="6"/>
        <v>62005.784201958988</v>
      </c>
      <c r="U33" s="289">
        <f t="shared" si="6"/>
        <v>79140.888292365329</v>
      </c>
      <c r="V33" s="289">
        <f t="shared" si="6"/>
        <v>61862.271101362188</v>
      </c>
      <c r="W33" s="289">
        <f t="shared" si="6"/>
        <v>79140.888292365329</v>
      </c>
      <c r="X33" s="289">
        <f t="shared" si="6"/>
        <v>61862.271101362188</v>
      </c>
      <c r="Y33" s="289">
        <f t="shared" si="6"/>
        <v>79140.888292365329</v>
      </c>
      <c r="Z33" s="289">
        <f t="shared" si="6"/>
        <v>62503.20958107811</v>
      </c>
      <c r="AA33" s="289">
        <f t="shared" si="6"/>
        <v>79140.888292365329</v>
      </c>
      <c r="AB33" s="289">
        <f t="shared" si="6"/>
        <v>62503.209581078198</v>
      </c>
      <c r="AC33" s="289">
        <f t="shared" si="6"/>
        <v>79140.8882923653</v>
      </c>
      <c r="AD33" s="289">
        <f t="shared" si="6"/>
        <v>62104.467252389557</v>
      </c>
      <c r="AE33" s="289">
        <f t="shared" si="6"/>
        <v>79140.8882923653</v>
      </c>
      <c r="AF33" s="289">
        <f t="shared" si="6"/>
        <v>61532.946627552621</v>
      </c>
      <c r="AG33" s="289">
        <f t="shared" si="6"/>
        <v>75939.312499434134</v>
      </c>
      <c r="AH33" s="289">
        <f t="shared" si="6"/>
        <v>61429.229414411362</v>
      </c>
      <c r="AI33" s="289">
        <f t="shared" si="6"/>
        <v>75443.557049437106</v>
      </c>
      <c r="AJ33" s="289">
        <f t="shared" si="6"/>
        <v>61140.267395288436</v>
      </c>
      <c r="AK33" s="289">
        <f t="shared" si="6"/>
        <v>75571.418249754235</v>
      </c>
      <c r="AL33" s="289">
        <f t="shared" si="6"/>
        <v>60922.732460612904</v>
      </c>
      <c r="AM33" s="289">
        <f t="shared" si="6"/>
        <v>75571.418249754235</v>
      </c>
    </row>
    <row r="34" spans="1:39" x14ac:dyDescent="0.2">
      <c r="A34" s="188">
        <v>19</v>
      </c>
      <c r="B34" s="278" t="s">
        <v>320</v>
      </c>
      <c r="C34" s="188"/>
      <c r="D34" s="283"/>
      <c r="E34" s="283"/>
      <c r="F34" s="283"/>
      <c r="G34" s="283"/>
      <c r="H34" s="283"/>
      <c r="I34" s="283"/>
      <c r="J34" s="283"/>
      <c r="K34" s="283"/>
      <c r="L34" s="283"/>
      <c r="M34" s="283"/>
      <c r="N34" s="283"/>
      <c r="O34" s="283"/>
      <c r="P34" s="283"/>
      <c r="Q34" s="283"/>
      <c r="R34" s="283"/>
      <c r="S34" s="283"/>
      <c r="T34" s="283"/>
      <c r="U34" s="283"/>
      <c r="V34" s="283"/>
      <c r="W34" s="284"/>
      <c r="X34" s="284"/>
      <c r="Y34" s="284"/>
      <c r="Z34" s="284"/>
      <c r="AA34" s="284"/>
      <c r="AB34" s="284"/>
      <c r="AC34" s="284"/>
      <c r="AD34" s="284"/>
      <c r="AE34" s="284"/>
      <c r="AF34" s="284"/>
      <c r="AG34" s="284"/>
      <c r="AH34" s="284"/>
      <c r="AI34" s="284"/>
      <c r="AJ34" s="284"/>
      <c r="AK34" s="284"/>
      <c r="AL34" s="284"/>
      <c r="AM34" s="284"/>
    </row>
    <row r="35" spans="1:39" x14ac:dyDescent="0.2">
      <c r="A35" s="188">
        <v>20</v>
      </c>
      <c r="B35" s="278" t="s">
        <v>438</v>
      </c>
      <c r="C35" s="188" t="s">
        <v>437</v>
      </c>
      <c r="D35" s="283"/>
      <c r="E35" s="283"/>
      <c r="F35" s="283"/>
      <c r="G35" s="283"/>
      <c r="H35" s="283"/>
      <c r="I35" s="283"/>
      <c r="J35" s="283"/>
      <c r="K35" s="283"/>
      <c r="L35" s="283"/>
      <c r="M35" s="283"/>
      <c r="N35" s="283"/>
      <c r="O35" s="283"/>
      <c r="P35" s="283"/>
      <c r="Q35" s="283"/>
      <c r="R35" s="283"/>
      <c r="S35" s="283"/>
      <c r="T35" s="283"/>
      <c r="U35" s="283"/>
      <c r="V35" s="283"/>
      <c r="W35" s="284"/>
      <c r="X35" s="284"/>
      <c r="Y35" s="284"/>
      <c r="Z35" s="284"/>
      <c r="AA35" s="284"/>
      <c r="AB35" s="284"/>
      <c r="AC35" s="284"/>
      <c r="AD35" s="284"/>
      <c r="AE35" s="284"/>
      <c r="AF35" s="284"/>
      <c r="AG35" s="284"/>
      <c r="AH35" s="284"/>
      <c r="AI35" s="284"/>
      <c r="AJ35" s="284"/>
      <c r="AK35" s="284"/>
      <c r="AL35" s="284"/>
      <c r="AM35" s="284"/>
    </row>
    <row r="36" spans="1:39" ht="15.75" x14ac:dyDescent="0.2">
      <c r="A36" s="185" t="s">
        <v>322</v>
      </c>
      <c r="B36" s="277" t="s">
        <v>323</v>
      </c>
      <c r="C36" s="188"/>
      <c r="D36" s="283"/>
      <c r="E36" s="283"/>
      <c r="F36" s="283"/>
      <c r="G36" s="283"/>
      <c r="H36" s="283"/>
      <c r="I36" s="283"/>
      <c r="J36" s="283"/>
      <c r="K36" s="283"/>
      <c r="L36" s="283"/>
      <c r="M36" s="283"/>
      <c r="N36" s="283"/>
      <c r="O36" s="283"/>
      <c r="P36" s="283"/>
      <c r="Q36" s="283"/>
      <c r="R36" s="283"/>
      <c r="S36" s="283"/>
      <c r="T36" s="283"/>
      <c r="U36" s="283"/>
      <c r="V36" s="283"/>
      <c r="W36" s="284"/>
      <c r="X36" s="284"/>
      <c r="Y36" s="284"/>
      <c r="Z36" s="284"/>
      <c r="AA36" s="284"/>
      <c r="AB36" s="284"/>
      <c r="AC36" s="284"/>
      <c r="AD36" s="284"/>
      <c r="AE36" s="284"/>
      <c r="AF36" s="284"/>
      <c r="AG36" s="284"/>
      <c r="AH36" s="284"/>
      <c r="AI36" s="284"/>
      <c r="AJ36" s="284"/>
      <c r="AK36" s="284"/>
      <c r="AL36" s="284"/>
      <c r="AM36" s="284"/>
    </row>
    <row r="37" spans="1:39" ht="45" x14ac:dyDescent="0.2">
      <c r="A37" s="188">
        <v>21</v>
      </c>
      <c r="B37" s="278" t="s">
        <v>439</v>
      </c>
      <c r="C37" s="188" t="s">
        <v>440</v>
      </c>
      <c r="D37" s="283"/>
      <c r="E37" s="283"/>
      <c r="F37" s="283"/>
      <c r="G37" s="283"/>
      <c r="H37" s="283"/>
      <c r="I37" s="283"/>
      <c r="J37" s="283"/>
      <c r="K37" s="283"/>
      <c r="L37" s="283"/>
      <c r="M37" s="283"/>
      <c r="N37" s="283"/>
      <c r="O37" s="283"/>
      <c r="P37" s="283"/>
      <c r="Q37" s="283"/>
      <c r="R37" s="283"/>
      <c r="S37" s="283"/>
      <c r="T37" s="283"/>
      <c r="U37" s="283"/>
      <c r="V37" s="283"/>
      <c r="W37" s="284"/>
      <c r="X37" s="284"/>
      <c r="Y37" s="284"/>
      <c r="Z37" s="284"/>
      <c r="AA37" s="284"/>
      <c r="AB37" s="284"/>
      <c r="AC37" s="284"/>
      <c r="AD37" s="284"/>
      <c r="AE37" s="284"/>
      <c r="AF37" s="284"/>
      <c r="AG37" s="284"/>
      <c r="AH37" s="284"/>
      <c r="AI37" s="284"/>
      <c r="AJ37" s="284"/>
      <c r="AK37" s="284"/>
      <c r="AL37" s="284"/>
      <c r="AM37" s="284"/>
    </row>
    <row r="38" spans="1:39" x14ac:dyDescent="0.2">
      <c r="A38" s="188">
        <v>22</v>
      </c>
      <c r="B38" s="278" t="s">
        <v>441</v>
      </c>
      <c r="C38" s="188" t="s">
        <v>440</v>
      </c>
      <c r="D38" s="283"/>
      <c r="E38" s="283"/>
      <c r="F38" s="283"/>
      <c r="G38" s="283"/>
      <c r="H38" s="283"/>
      <c r="I38" s="283"/>
      <c r="J38" s="283"/>
      <c r="K38" s="283"/>
      <c r="L38" s="283"/>
      <c r="M38" s="283"/>
      <c r="N38" s="283"/>
      <c r="O38" s="283"/>
      <c r="P38" s="283"/>
      <c r="Q38" s="283"/>
      <c r="R38" s="283"/>
      <c r="S38" s="283"/>
      <c r="T38" s="283"/>
      <c r="U38" s="283"/>
      <c r="V38" s="283"/>
      <c r="W38" s="284"/>
      <c r="X38" s="284"/>
      <c r="Y38" s="284"/>
      <c r="Z38" s="284"/>
      <c r="AA38" s="284"/>
      <c r="AB38" s="284"/>
      <c r="AC38" s="284"/>
      <c r="AD38" s="284"/>
      <c r="AE38" s="284"/>
      <c r="AF38" s="284"/>
      <c r="AG38" s="284"/>
      <c r="AH38" s="284"/>
      <c r="AI38" s="284"/>
      <c r="AJ38" s="284"/>
      <c r="AK38" s="284"/>
      <c r="AL38" s="284"/>
      <c r="AM38" s="284"/>
    </row>
    <row r="39" spans="1:39" ht="30" x14ac:dyDescent="0.2">
      <c r="A39" s="188">
        <v>23</v>
      </c>
      <c r="B39" s="278" t="s">
        <v>442</v>
      </c>
      <c r="C39" s="188" t="s">
        <v>440</v>
      </c>
      <c r="D39" s="283"/>
      <c r="E39" s="283"/>
      <c r="F39" s="283"/>
      <c r="G39" s="283"/>
      <c r="H39" s="283"/>
      <c r="I39" s="283"/>
      <c r="J39" s="283"/>
      <c r="K39" s="283"/>
      <c r="L39" s="283"/>
      <c r="M39" s="283"/>
      <c r="N39" s="283"/>
      <c r="O39" s="283"/>
      <c r="P39" s="283"/>
      <c r="Q39" s="283"/>
      <c r="R39" s="283"/>
      <c r="S39" s="283"/>
      <c r="T39" s="283"/>
      <c r="U39" s="283"/>
      <c r="V39" s="283"/>
      <c r="W39" s="284"/>
      <c r="X39" s="284"/>
      <c r="Y39" s="284"/>
      <c r="Z39" s="284"/>
      <c r="AA39" s="284"/>
      <c r="AB39" s="284"/>
      <c r="AC39" s="284"/>
      <c r="AD39" s="284"/>
      <c r="AE39" s="284"/>
      <c r="AF39" s="284"/>
      <c r="AG39" s="284"/>
      <c r="AH39" s="284"/>
      <c r="AI39" s="284"/>
      <c r="AJ39" s="284"/>
      <c r="AK39" s="284"/>
      <c r="AL39" s="284"/>
      <c r="AM39" s="284"/>
    </row>
    <row r="40" spans="1:39" x14ac:dyDescent="0.2">
      <c r="A40" s="188">
        <v>24</v>
      </c>
      <c r="B40" s="278" t="s">
        <v>443</v>
      </c>
      <c r="C40" s="188" t="s">
        <v>440</v>
      </c>
      <c r="D40" s="283"/>
      <c r="E40" s="283"/>
      <c r="F40" s="283"/>
      <c r="G40" s="283"/>
      <c r="H40" s="283"/>
      <c r="I40" s="283"/>
      <c r="J40" s="283"/>
      <c r="K40" s="283"/>
      <c r="L40" s="283"/>
      <c r="M40" s="283"/>
      <c r="N40" s="283"/>
      <c r="O40" s="283"/>
      <c r="P40" s="283"/>
      <c r="Q40" s="283"/>
      <c r="R40" s="283"/>
      <c r="S40" s="283"/>
      <c r="T40" s="283"/>
      <c r="U40" s="283"/>
      <c r="V40" s="283"/>
      <c r="W40" s="284"/>
      <c r="X40" s="284"/>
      <c r="Y40" s="284"/>
      <c r="Z40" s="284"/>
      <c r="AA40" s="284"/>
      <c r="AB40" s="284"/>
      <c r="AC40" s="284"/>
      <c r="AD40" s="284"/>
      <c r="AE40" s="284"/>
      <c r="AF40" s="284"/>
      <c r="AG40" s="284"/>
      <c r="AH40" s="284"/>
      <c r="AI40" s="284"/>
      <c r="AJ40" s="284"/>
      <c r="AK40" s="284"/>
      <c r="AL40" s="284"/>
      <c r="AM40" s="284"/>
    </row>
    <row r="41" spans="1:39" x14ac:dyDescent="0.2">
      <c r="A41" s="188">
        <v>25</v>
      </c>
      <c r="B41" s="278" t="s">
        <v>444</v>
      </c>
      <c r="C41" s="188" t="s">
        <v>440</v>
      </c>
      <c r="D41" s="283"/>
      <c r="E41" s="283"/>
      <c r="F41" s="283"/>
      <c r="G41" s="283"/>
      <c r="H41" s="283"/>
      <c r="I41" s="283"/>
      <c r="J41" s="283"/>
      <c r="K41" s="283"/>
      <c r="L41" s="283"/>
      <c r="M41" s="283"/>
      <c r="N41" s="283"/>
      <c r="O41" s="283"/>
      <c r="P41" s="283"/>
      <c r="Q41" s="283"/>
      <c r="R41" s="283"/>
      <c r="S41" s="283"/>
      <c r="T41" s="283"/>
      <c r="U41" s="283"/>
      <c r="V41" s="283"/>
      <c r="W41" s="284"/>
      <c r="X41" s="284"/>
      <c r="Y41" s="284"/>
      <c r="Z41" s="284"/>
      <c r="AA41" s="284"/>
      <c r="AB41" s="284"/>
      <c r="AC41" s="284"/>
      <c r="AD41" s="284"/>
      <c r="AE41" s="284"/>
      <c r="AF41" s="284"/>
      <c r="AG41" s="284"/>
      <c r="AH41" s="284"/>
      <c r="AI41" s="284"/>
      <c r="AJ41" s="284"/>
      <c r="AK41" s="284"/>
      <c r="AL41" s="284"/>
      <c r="AM41" s="284"/>
    </row>
    <row r="42" spans="1:39" ht="30" x14ac:dyDescent="0.2">
      <c r="A42" s="188">
        <v>26</v>
      </c>
      <c r="B42" s="278" t="s">
        <v>445</v>
      </c>
      <c r="C42" s="188" t="s">
        <v>440</v>
      </c>
      <c r="D42" s="283"/>
      <c r="E42" s="283"/>
      <c r="F42" s="283"/>
      <c r="G42" s="283"/>
      <c r="H42" s="283"/>
      <c r="I42" s="283"/>
      <c r="J42" s="283"/>
      <c r="K42" s="283"/>
      <c r="L42" s="283"/>
      <c r="M42" s="283"/>
      <c r="N42" s="283"/>
      <c r="O42" s="283"/>
      <c r="P42" s="283"/>
      <c r="Q42" s="283"/>
      <c r="R42" s="283"/>
      <c r="S42" s="283"/>
      <c r="T42" s="283"/>
      <c r="U42" s="283"/>
      <c r="V42" s="283"/>
      <c r="W42" s="284"/>
      <c r="X42" s="284"/>
      <c r="Y42" s="284"/>
      <c r="Z42" s="284"/>
      <c r="AA42" s="284"/>
      <c r="AB42" s="284"/>
      <c r="AC42" s="284"/>
      <c r="AD42" s="284"/>
      <c r="AE42" s="284"/>
      <c r="AF42" s="284"/>
      <c r="AG42" s="284"/>
      <c r="AH42" s="284"/>
      <c r="AI42" s="284"/>
      <c r="AJ42" s="284"/>
      <c r="AK42" s="284"/>
      <c r="AL42" s="284"/>
      <c r="AM42" s="284"/>
    </row>
    <row r="43" spans="1:39" x14ac:dyDescent="0.2">
      <c r="A43" s="188">
        <v>27</v>
      </c>
      <c r="B43" s="278" t="s">
        <v>446</v>
      </c>
      <c r="C43" s="188" t="s">
        <v>440</v>
      </c>
      <c r="D43" s="283"/>
      <c r="E43" s="283"/>
      <c r="F43" s="283"/>
      <c r="G43" s="283"/>
      <c r="H43" s="283"/>
      <c r="I43" s="283"/>
      <c r="J43" s="283"/>
      <c r="K43" s="283"/>
      <c r="L43" s="283"/>
      <c r="M43" s="283"/>
      <c r="N43" s="283"/>
      <c r="O43" s="283"/>
      <c r="P43" s="283"/>
      <c r="Q43" s="283"/>
      <c r="R43" s="283"/>
      <c r="S43" s="283"/>
      <c r="T43" s="283"/>
      <c r="U43" s="283"/>
      <c r="V43" s="283"/>
      <c r="W43" s="284"/>
      <c r="X43" s="284"/>
      <c r="Y43" s="284"/>
      <c r="Z43" s="284"/>
      <c r="AA43" s="284"/>
      <c r="AB43" s="284"/>
      <c r="AC43" s="284"/>
      <c r="AD43" s="284"/>
      <c r="AE43" s="284"/>
      <c r="AF43" s="284"/>
      <c r="AG43" s="284"/>
      <c r="AH43" s="284"/>
      <c r="AI43" s="284"/>
      <c r="AJ43" s="284"/>
      <c r="AK43" s="284"/>
      <c r="AL43" s="284"/>
      <c r="AM43" s="284"/>
    </row>
    <row r="44" spans="1:39" ht="30" x14ac:dyDescent="0.2">
      <c r="A44" s="188">
        <v>28</v>
      </c>
      <c r="B44" s="278" t="s">
        <v>447</v>
      </c>
      <c r="C44" s="188" t="s">
        <v>440</v>
      </c>
      <c r="D44" s="283"/>
      <c r="E44" s="283"/>
      <c r="F44" s="283"/>
      <c r="G44" s="283"/>
      <c r="H44" s="283"/>
      <c r="I44" s="283"/>
      <c r="J44" s="283"/>
      <c r="K44" s="283"/>
      <c r="L44" s="283"/>
      <c r="M44" s="283"/>
      <c r="N44" s="283"/>
      <c r="O44" s="283"/>
      <c r="P44" s="283"/>
      <c r="Q44" s="283"/>
      <c r="R44" s="283"/>
      <c r="S44" s="283"/>
      <c r="T44" s="283"/>
      <c r="U44" s="283"/>
      <c r="V44" s="283"/>
      <c r="W44" s="284"/>
      <c r="X44" s="284"/>
      <c r="Y44" s="284"/>
      <c r="Z44" s="284"/>
      <c r="AA44" s="284"/>
      <c r="AB44" s="284"/>
      <c r="AC44" s="284"/>
      <c r="AD44" s="284"/>
      <c r="AE44" s="284"/>
      <c r="AF44" s="284"/>
      <c r="AG44" s="284"/>
      <c r="AH44" s="284"/>
      <c r="AI44" s="284"/>
      <c r="AJ44" s="284"/>
      <c r="AK44" s="284"/>
      <c r="AL44" s="284"/>
      <c r="AM44" s="284"/>
    </row>
    <row r="45" spans="1:39" x14ac:dyDescent="0.2">
      <c r="A45" s="188">
        <v>29</v>
      </c>
      <c r="B45" s="278" t="s">
        <v>448</v>
      </c>
      <c r="C45" s="188" t="s">
        <v>440</v>
      </c>
      <c r="D45" s="283"/>
      <c r="E45" s="283"/>
      <c r="F45" s="283"/>
      <c r="G45" s="283"/>
      <c r="H45" s="283"/>
      <c r="I45" s="283"/>
      <c r="J45" s="283"/>
      <c r="K45" s="283"/>
      <c r="L45" s="283"/>
      <c r="M45" s="283"/>
      <c r="N45" s="283"/>
      <c r="O45" s="283"/>
      <c r="P45" s="283"/>
      <c r="Q45" s="283"/>
      <c r="R45" s="283"/>
      <c r="S45" s="283"/>
      <c r="T45" s="283"/>
      <c r="U45" s="283"/>
      <c r="V45" s="283"/>
      <c r="W45" s="284"/>
      <c r="X45" s="284"/>
      <c r="Y45" s="284"/>
      <c r="Z45" s="284"/>
      <c r="AA45" s="284"/>
      <c r="AB45" s="284"/>
      <c r="AC45" s="284"/>
      <c r="AD45" s="284"/>
      <c r="AE45" s="284"/>
      <c r="AF45" s="284"/>
      <c r="AG45" s="284"/>
      <c r="AH45" s="284"/>
      <c r="AI45" s="284"/>
      <c r="AJ45" s="284"/>
      <c r="AK45" s="284"/>
      <c r="AL45" s="284"/>
      <c r="AM45" s="284"/>
    </row>
    <row r="46" spans="1:39" ht="15.75" x14ac:dyDescent="0.2">
      <c r="A46" s="188">
        <v>30</v>
      </c>
      <c r="B46" s="278" t="s">
        <v>449</v>
      </c>
      <c r="C46" s="188" t="s">
        <v>440</v>
      </c>
      <c r="D46" s="367">
        <v>9819</v>
      </c>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8"/>
      <c r="AL46" s="368"/>
      <c r="AM46" s="369"/>
    </row>
    <row r="47" spans="1:39" x14ac:dyDescent="0.2">
      <c r="A47" s="156"/>
      <c r="B47" s="279"/>
      <c r="C47" s="156"/>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8"/>
      <c r="AC47" s="288"/>
      <c r="AD47" s="288"/>
      <c r="AE47" s="288"/>
      <c r="AF47" s="288"/>
      <c r="AG47" s="288"/>
      <c r="AH47" s="288"/>
      <c r="AI47" s="288"/>
      <c r="AJ47" s="288"/>
      <c r="AK47" s="288"/>
      <c r="AL47" s="288"/>
      <c r="AM47" s="288"/>
    </row>
    <row r="48" spans="1:39" ht="15.75" x14ac:dyDescent="0.2">
      <c r="A48" s="164" t="s">
        <v>234</v>
      </c>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8"/>
      <c r="AL48" s="288"/>
      <c r="AM48" s="288"/>
    </row>
    <row r="49" spans="1:39" ht="15.75" x14ac:dyDescent="0.2">
      <c r="A49" s="183"/>
      <c r="B49" s="277" t="s">
        <v>14</v>
      </c>
      <c r="C49" s="190"/>
      <c r="D49" s="284"/>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84"/>
      <c r="AL49" s="284"/>
      <c r="AM49" s="284"/>
    </row>
    <row r="50" spans="1:39" x14ac:dyDescent="0.2">
      <c r="A50" s="183">
        <v>1</v>
      </c>
      <c r="B50" s="278" t="s">
        <v>495</v>
      </c>
      <c r="C50" s="190" t="s">
        <v>425</v>
      </c>
      <c r="D50" s="284">
        <v>69.417000000000002</v>
      </c>
      <c r="E50" s="284">
        <v>4.1660000000000004</v>
      </c>
      <c r="F50" s="284">
        <v>147.524</v>
      </c>
      <c r="G50" s="284">
        <v>9.9989999999999988</v>
      </c>
      <c r="H50" s="284">
        <v>382.93399999999997</v>
      </c>
      <c r="I50" s="284">
        <v>15</v>
      </c>
      <c r="J50" s="284">
        <v>21.972000000000001</v>
      </c>
      <c r="K50" s="284">
        <v>0</v>
      </c>
      <c r="L50" s="284">
        <v>465.59300000000002</v>
      </c>
      <c r="M50" s="284">
        <v>48.835999999999999</v>
      </c>
      <c r="N50" s="284">
        <v>285.822</v>
      </c>
      <c r="O50" s="284">
        <v>22.498999999999999</v>
      </c>
      <c r="P50" s="284">
        <v>72.193000000000012</v>
      </c>
      <c r="Q50" s="284">
        <v>5</v>
      </c>
      <c r="R50" s="284">
        <v>147.523</v>
      </c>
      <c r="S50" s="284">
        <v>6.6660000000000004</v>
      </c>
      <c r="T50" s="284">
        <v>100.44199999999999</v>
      </c>
      <c r="U50" s="284">
        <v>3.3330000000000002</v>
      </c>
      <c r="V50" s="284">
        <v>211.399</v>
      </c>
      <c r="W50" s="284">
        <v>10</v>
      </c>
      <c r="X50" s="284">
        <v>119.274</v>
      </c>
      <c r="Y50" s="284">
        <v>2.5</v>
      </c>
      <c r="Z50" s="284">
        <v>9.0499999999999989</v>
      </c>
      <c r="AA50" s="284">
        <v>0</v>
      </c>
      <c r="AB50" s="284">
        <v>40.804000000000002</v>
      </c>
      <c r="AC50" s="284">
        <v>5.8330000000000002</v>
      </c>
      <c r="AD50" s="284">
        <v>94.163999999999987</v>
      </c>
      <c r="AE50" s="284">
        <v>3.3330000000000002</v>
      </c>
      <c r="AF50" s="284">
        <v>659.16200000000003</v>
      </c>
      <c r="AG50" s="284">
        <v>38.159999999999997</v>
      </c>
      <c r="AH50" s="284">
        <v>305.113</v>
      </c>
      <c r="AI50" s="284">
        <v>22.334</v>
      </c>
      <c r="AJ50" s="284">
        <v>412.37</v>
      </c>
      <c r="AK50" s="284">
        <v>45.2</v>
      </c>
      <c r="AL50" s="284">
        <v>233.81099999999998</v>
      </c>
      <c r="AM50" s="284">
        <v>17.100000000000001</v>
      </c>
    </row>
    <row r="51" spans="1:39" x14ac:dyDescent="0.2">
      <c r="A51" s="183">
        <v>2</v>
      </c>
      <c r="B51" s="278" t="s">
        <v>496</v>
      </c>
      <c r="C51" s="190" t="s">
        <v>426</v>
      </c>
      <c r="D51" s="284">
        <v>0.42415112090596835</v>
      </c>
      <c r="E51" s="284">
        <v>3.3686282895400051E-2</v>
      </c>
      <c r="F51" s="284">
        <v>0.90139980063287184</v>
      </c>
      <c r="G51" s="284">
        <v>8.0851930549953197E-2</v>
      </c>
      <c r="H51" s="284">
        <v>2.3397998376911424</v>
      </c>
      <c r="I51" s="284">
        <v>0.12129002482741257</v>
      </c>
      <c r="J51" s="284">
        <v>0.13425311420179403</v>
      </c>
      <c r="K51" s="284">
        <v>0</v>
      </c>
      <c r="L51" s="284">
        <v>2.9103814630101699</v>
      </c>
      <c r="M51" s="284">
        <v>0.38649244206459532</v>
      </c>
      <c r="N51" s="284">
        <v>1.7722617252172326</v>
      </c>
      <c r="O51" s="284">
        <v>0.17805908456899275</v>
      </c>
      <c r="P51" s="284">
        <v>0.44763835788920259</v>
      </c>
      <c r="Q51" s="284">
        <v>3.9570444146182666E-2</v>
      </c>
      <c r="R51" s="284">
        <v>0.91472793028255961</v>
      </c>
      <c r="S51" s="284">
        <v>5.2755316135690719E-2</v>
      </c>
      <c r="T51" s="284">
        <v>0.62279849768131645</v>
      </c>
      <c r="U51" s="284">
        <v>2.6377658067845366E-2</v>
      </c>
      <c r="V51" s="284">
        <v>1.3077622248556866</v>
      </c>
      <c r="W51" s="284">
        <v>7.9140888292365333E-2</v>
      </c>
      <c r="X51" s="284">
        <v>0.73785605233438745</v>
      </c>
      <c r="Y51" s="284">
        <v>1.9785222073091333E-2</v>
      </c>
      <c r="Z51" s="284">
        <v>5.6565404670875681E-2</v>
      </c>
      <c r="AA51" s="284">
        <v>0</v>
      </c>
      <c r="AB51" s="284">
        <v>0.25503809637463148</v>
      </c>
      <c r="AC51" s="284">
        <v>4.6162880140936682E-2</v>
      </c>
      <c r="AD51" s="284">
        <v>0.58480050543540096</v>
      </c>
      <c r="AE51" s="284">
        <v>2.6377658067845356E-2</v>
      </c>
      <c r="AF51" s="284">
        <v>4.0560180164910848</v>
      </c>
      <c r="AG51" s="284">
        <v>0.28978441649784065</v>
      </c>
      <c r="AH51" s="284">
        <v>1.8742856474319294</v>
      </c>
      <c r="AI51" s="284">
        <v>0.16849564031421282</v>
      </c>
      <c r="AJ51" s="284">
        <v>2.5212412065795093</v>
      </c>
      <c r="AK51" s="284">
        <v>0.34158281048888917</v>
      </c>
      <c r="AL51" s="284">
        <v>1.4244404999348363</v>
      </c>
      <c r="AM51" s="284">
        <v>0.12922712520707977</v>
      </c>
    </row>
    <row r="52" spans="1:39" s="290" customFormat="1" ht="15.75" x14ac:dyDescent="0.25">
      <c r="A52" s="187">
        <v>3</v>
      </c>
      <c r="B52" s="277" t="s">
        <v>497</v>
      </c>
      <c r="C52" s="291" t="s">
        <v>437</v>
      </c>
      <c r="D52" s="363">
        <v>62220.54058700629</v>
      </c>
      <c r="E52" s="364"/>
      <c r="F52" s="363">
        <v>62356.083313727213</v>
      </c>
      <c r="G52" s="364"/>
      <c r="H52" s="363">
        <v>61846.684689384558</v>
      </c>
      <c r="I52" s="364"/>
      <c r="J52" s="363">
        <v>61101.908884850731</v>
      </c>
      <c r="K52" s="364"/>
      <c r="L52" s="363">
        <v>64088.025851473481</v>
      </c>
      <c r="M52" s="364"/>
      <c r="N52" s="363">
        <v>63256.178132083936</v>
      </c>
      <c r="O52" s="364"/>
      <c r="P52" s="363">
        <v>63115.671373749581</v>
      </c>
      <c r="Q52" s="364"/>
      <c r="R52" s="363">
        <v>62746.580263070027</v>
      </c>
      <c r="S52" s="364"/>
      <c r="T52" s="363">
        <v>62556.121970528722</v>
      </c>
      <c r="U52" s="364"/>
      <c r="V52" s="363">
        <v>62642.699973714967</v>
      </c>
      <c r="W52" s="364"/>
      <c r="X52" s="363">
        <v>62216.998243260357</v>
      </c>
      <c r="Y52" s="364"/>
      <c r="Z52" s="363">
        <v>62503.20958107811</v>
      </c>
      <c r="AA52" s="364"/>
      <c r="AB52" s="363">
        <v>64584.123446098194</v>
      </c>
      <c r="AC52" s="364"/>
      <c r="AD52" s="363">
        <v>62686.868673215205</v>
      </c>
      <c r="AE52" s="364"/>
      <c r="AF52" s="363">
        <v>62321.315446650551</v>
      </c>
      <c r="AG52" s="364"/>
      <c r="AH52" s="363">
        <v>62385.097061391374</v>
      </c>
      <c r="AI52" s="364"/>
      <c r="AJ52" s="363">
        <v>62565.815439569866</v>
      </c>
      <c r="AK52" s="364"/>
      <c r="AL52" s="363">
        <v>61921.064646106242</v>
      </c>
      <c r="AM52" s="364"/>
    </row>
  </sheetData>
  <mergeCells count="43">
    <mergeCell ref="A1:V1"/>
    <mergeCell ref="A2:V2"/>
    <mergeCell ref="A3:V3"/>
    <mergeCell ref="A5:A6"/>
    <mergeCell ref="B5:B6"/>
    <mergeCell ref="C5:C6"/>
    <mergeCell ref="D5:E5"/>
    <mergeCell ref="F5:G5"/>
    <mergeCell ref="H5:I5"/>
    <mergeCell ref="J5:K5"/>
    <mergeCell ref="L5:M5"/>
    <mergeCell ref="N5:O5"/>
    <mergeCell ref="P5:Q5"/>
    <mergeCell ref="R5:S5"/>
    <mergeCell ref="T5:U5"/>
    <mergeCell ref="V5:W5"/>
    <mergeCell ref="X5:Y5"/>
    <mergeCell ref="Z5:AA5"/>
    <mergeCell ref="AB5:AC5"/>
    <mergeCell ref="AD5:AE5"/>
    <mergeCell ref="AF5:AG5"/>
    <mergeCell ref="AH5:AI5"/>
    <mergeCell ref="AJ5:AK5"/>
    <mergeCell ref="AL5:AM5"/>
    <mergeCell ref="D46:AM46"/>
    <mergeCell ref="D52:E52"/>
    <mergeCell ref="F52:G52"/>
    <mergeCell ref="H52:I52"/>
    <mergeCell ref="J52:K52"/>
    <mergeCell ref="L52:M52"/>
    <mergeCell ref="N52:O52"/>
    <mergeCell ref="P52:Q52"/>
    <mergeCell ref="R52:S52"/>
    <mergeCell ref="T52:U52"/>
    <mergeCell ref="V52:W52"/>
    <mergeCell ref="X52:Y52"/>
    <mergeCell ref="Z52:AA52"/>
    <mergeCell ref="AL52:AM52"/>
    <mergeCell ref="AB52:AC52"/>
    <mergeCell ref="AD52:AE52"/>
    <mergeCell ref="AF52:AG52"/>
    <mergeCell ref="AH52:AI52"/>
    <mergeCell ref="AJ52:AK52"/>
  </mergeCells>
  <pageMargins left="0.25" right="0.2" top="0.25" bottom="0.25" header="0.3" footer="0.3"/>
  <pageSetup paperSize="9" scale="65"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5"/>
  <sheetViews>
    <sheetView showGridLines="0" view="pageBreakPreview" zoomScaleNormal="91" zoomScaleSheetLayoutView="100" workbookViewId="0">
      <selection activeCell="O16" sqref="O16"/>
    </sheetView>
  </sheetViews>
  <sheetFormatPr defaultColWidth="9.28515625" defaultRowHeight="14.25" x14ac:dyDescent="0.2"/>
  <cols>
    <col min="1" max="1" width="2.42578125" style="86" customWidth="1"/>
    <col min="2" max="2" width="31.7109375" style="86" customWidth="1"/>
    <col min="3" max="3" width="8.42578125" style="86" customWidth="1"/>
    <col min="4" max="4" width="9.28515625" style="86" customWidth="1"/>
    <col min="5" max="5" width="11.140625" style="86" customWidth="1"/>
    <col min="6" max="6" width="9.28515625" style="86" customWidth="1"/>
    <col min="7" max="7" width="13.140625" style="86" customWidth="1"/>
    <col min="8" max="8" width="11.42578125" style="86" customWidth="1"/>
    <col min="9" max="9" width="9.5703125" style="86" customWidth="1"/>
    <col min="10" max="10" width="11.7109375" style="86" customWidth="1"/>
    <col min="11" max="11" width="11" style="86" customWidth="1"/>
    <col min="12" max="16384" width="9.28515625" style="86"/>
  </cols>
  <sheetData>
    <row r="2" spans="2:11" ht="15" x14ac:dyDescent="0.2">
      <c r="G2" s="32" t="s">
        <v>394</v>
      </c>
    </row>
    <row r="3" spans="2:11" ht="15" x14ac:dyDescent="0.2">
      <c r="G3" s="32" t="s">
        <v>397</v>
      </c>
    </row>
    <row r="4" spans="2:11" ht="15" x14ac:dyDescent="0.2">
      <c r="G4" s="35" t="s">
        <v>337</v>
      </c>
    </row>
    <row r="5" spans="2:11" ht="10.5" customHeight="1" x14ac:dyDescent="0.2"/>
    <row r="6" spans="2:11" ht="15" x14ac:dyDescent="0.2">
      <c r="B6" s="373" t="s">
        <v>14</v>
      </c>
      <c r="C6" s="373" t="s">
        <v>202</v>
      </c>
      <c r="D6" s="373" t="s">
        <v>35</v>
      </c>
      <c r="E6" s="326" t="s">
        <v>395</v>
      </c>
      <c r="F6" s="327"/>
      <c r="G6" s="328"/>
      <c r="H6" s="326" t="s">
        <v>396</v>
      </c>
      <c r="I6" s="328"/>
      <c r="J6" s="326" t="s">
        <v>462</v>
      </c>
      <c r="K6" s="328"/>
    </row>
    <row r="7" spans="2:11" ht="39" customHeight="1" x14ac:dyDescent="0.2">
      <c r="B7" s="373"/>
      <c r="C7" s="373"/>
      <c r="D7" s="373"/>
      <c r="E7" s="15" t="s">
        <v>387</v>
      </c>
      <c r="F7" s="15" t="s">
        <v>232</v>
      </c>
      <c r="G7" s="15" t="s">
        <v>201</v>
      </c>
      <c r="H7" s="15" t="s">
        <v>387</v>
      </c>
      <c r="I7" s="15" t="s">
        <v>231</v>
      </c>
      <c r="J7" s="15" t="s">
        <v>387</v>
      </c>
      <c r="K7" s="15" t="s">
        <v>221</v>
      </c>
    </row>
    <row r="8" spans="2:11" ht="30" x14ac:dyDescent="0.2">
      <c r="B8" s="373"/>
      <c r="C8" s="373"/>
      <c r="D8" s="373"/>
      <c r="E8" s="15" t="s">
        <v>10</v>
      </c>
      <c r="F8" s="15" t="s">
        <v>12</v>
      </c>
      <c r="G8" s="15" t="s">
        <v>223</v>
      </c>
      <c r="H8" s="15" t="s">
        <v>10</v>
      </c>
      <c r="I8" s="15" t="s">
        <v>5</v>
      </c>
      <c r="J8" s="15" t="s">
        <v>10</v>
      </c>
      <c r="K8" s="15" t="s">
        <v>8</v>
      </c>
    </row>
    <row r="9" spans="2:11" x14ac:dyDescent="0.2">
      <c r="B9" s="90" t="s">
        <v>166</v>
      </c>
      <c r="C9" s="93" t="s">
        <v>344</v>
      </c>
      <c r="D9" s="93" t="s">
        <v>38</v>
      </c>
      <c r="E9" s="28">
        <v>9.3000000000000007</v>
      </c>
      <c r="F9" s="96">
        <f>'F10'!F28</f>
        <v>10.975438936952136</v>
      </c>
      <c r="G9" s="96">
        <f t="shared" ref="G9:G15" si="0">F9</f>
        <v>10.975438936952136</v>
      </c>
      <c r="H9" s="122">
        <f>I9</f>
        <v>9.3000000000000007</v>
      </c>
      <c r="I9" s="122">
        <v>9.3000000000000007</v>
      </c>
      <c r="J9" s="122">
        <f>H9</f>
        <v>9.3000000000000007</v>
      </c>
      <c r="K9" s="122">
        <f>I9</f>
        <v>9.3000000000000007</v>
      </c>
    </row>
    <row r="10" spans="2:11" x14ac:dyDescent="0.2">
      <c r="B10" s="91" t="s">
        <v>200</v>
      </c>
      <c r="C10" s="94" t="s">
        <v>354</v>
      </c>
      <c r="D10" s="94" t="s">
        <v>45</v>
      </c>
      <c r="E10" s="28">
        <v>2500</v>
      </c>
      <c r="F10" s="97">
        <f>'F10'!F34</f>
        <v>2322.4173791760309</v>
      </c>
      <c r="G10" s="97">
        <f t="shared" si="0"/>
        <v>2322.4173791760309</v>
      </c>
      <c r="H10" s="97">
        <f t="shared" ref="H10:H15" si="1">I10</f>
        <v>2500</v>
      </c>
      <c r="I10" s="97">
        <v>2500</v>
      </c>
      <c r="J10" s="97">
        <f t="shared" ref="J10:J12" si="2">H10</f>
        <v>2500</v>
      </c>
      <c r="K10" s="97">
        <f t="shared" ref="K10:K12" si="3">I10</f>
        <v>2500</v>
      </c>
    </row>
    <row r="11" spans="2:11" x14ac:dyDescent="0.2">
      <c r="B11" s="90" t="s">
        <v>338</v>
      </c>
      <c r="C11" s="93" t="s">
        <v>345</v>
      </c>
      <c r="D11" s="93" t="s">
        <v>47</v>
      </c>
      <c r="E11" s="28">
        <v>0.5</v>
      </c>
      <c r="F11" s="96">
        <v>0.61319730460743027</v>
      </c>
      <c r="G11" s="96">
        <f t="shared" si="0"/>
        <v>0.61319730460743027</v>
      </c>
      <c r="H11" s="122">
        <f t="shared" si="1"/>
        <v>0.5</v>
      </c>
      <c r="I11" s="122">
        <v>0.5</v>
      </c>
      <c r="J11" s="122">
        <f t="shared" si="2"/>
        <v>0.5</v>
      </c>
      <c r="K11" s="122">
        <f t="shared" si="3"/>
        <v>0.5</v>
      </c>
    </row>
    <row r="12" spans="2:11" x14ac:dyDescent="0.2">
      <c r="B12" s="90" t="s">
        <v>339</v>
      </c>
      <c r="C12" s="93" t="s">
        <v>346</v>
      </c>
      <c r="D12" s="93" t="s">
        <v>347</v>
      </c>
      <c r="E12" s="97">
        <f>F12</f>
        <v>9819</v>
      </c>
      <c r="F12" s="97">
        <v>9819</v>
      </c>
      <c r="G12" s="97">
        <f t="shared" si="0"/>
        <v>9819</v>
      </c>
      <c r="H12" s="97">
        <f t="shared" si="1"/>
        <v>9819</v>
      </c>
      <c r="I12" s="97">
        <v>9819</v>
      </c>
      <c r="J12" s="97">
        <f t="shared" si="2"/>
        <v>9819</v>
      </c>
      <c r="K12" s="97">
        <f t="shared" si="3"/>
        <v>9819</v>
      </c>
    </row>
    <row r="13" spans="2:11" x14ac:dyDescent="0.2">
      <c r="B13" s="90" t="s">
        <v>340</v>
      </c>
      <c r="C13" s="93" t="s">
        <v>348</v>
      </c>
      <c r="D13" s="93" t="s">
        <v>349</v>
      </c>
      <c r="E13" s="96">
        <f>F13</f>
        <v>6.2984877873061146E-2</v>
      </c>
      <c r="F13" s="96">
        <v>6.2984877873061146E-2</v>
      </c>
      <c r="G13" s="96">
        <f t="shared" si="0"/>
        <v>6.2984877873061146E-2</v>
      </c>
      <c r="H13" s="96">
        <f t="shared" si="1"/>
        <v>6.1914739078355402E-2</v>
      </c>
      <c r="I13" s="96">
        <f>61914.7390783554/1000000</f>
        <v>6.1914739078355402E-2</v>
      </c>
      <c r="J13" s="96">
        <f>K13</f>
        <v>6.3649347743171394E-2</v>
      </c>
      <c r="K13" s="96">
        <f>63649.3477431714/1000000</f>
        <v>6.3649347743171394E-2</v>
      </c>
    </row>
    <row r="14" spans="2:11" ht="17.25" x14ac:dyDescent="0.2">
      <c r="B14" s="90" t="s">
        <v>355</v>
      </c>
      <c r="C14" s="93" t="s">
        <v>350</v>
      </c>
      <c r="D14" s="93" t="s">
        <v>324</v>
      </c>
      <c r="E14" s="207">
        <f>F14</f>
        <v>2857.4548</v>
      </c>
      <c r="F14" s="97">
        <v>2857.4548</v>
      </c>
      <c r="G14" s="97">
        <f t="shared" si="0"/>
        <v>2857.4548</v>
      </c>
      <c r="H14" s="97">
        <f t="shared" si="1"/>
        <v>2723.4967254195885</v>
      </c>
      <c r="I14" s="97">
        <v>2723.4967254195885</v>
      </c>
      <c r="J14" s="97">
        <v>2827.1798406862745</v>
      </c>
      <c r="K14" s="97">
        <f>J14</f>
        <v>2827.1798406862745</v>
      </c>
    </row>
    <row r="15" spans="2:11" x14ac:dyDescent="0.2">
      <c r="B15" s="90" t="s">
        <v>341</v>
      </c>
      <c r="C15" s="93" t="s">
        <v>351</v>
      </c>
      <c r="D15" s="93" t="s">
        <v>352</v>
      </c>
      <c r="E15" s="96">
        <f>F15</f>
        <v>4.4224279398657274</v>
      </c>
      <c r="F15" s="96">
        <v>4.4224279398657274</v>
      </c>
      <c r="G15" s="96">
        <f t="shared" si="0"/>
        <v>4.4224279398657274</v>
      </c>
      <c r="H15" s="122">
        <f t="shared" si="1"/>
        <v>4.0028072540905901</v>
      </c>
      <c r="I15" s="124">
        <f>4002.80725409059/1000</f>
        <v>4.0028072540905901</v>
      </c>
      <c r="J15" s="122">
        <f>3804.25512924107/1000</f>
        <v>3.8042551292410698</v>
      </c>
      <c r="K15" s="122">
        <f>J15</f>
        <v>3.8042551292410698</v>
      </c>
    </row>
    <row r="16" spans="2:11" x14ac:dyDescent="0.2">
      <c r="B16" s="90" t="s">
        <v>342</v>
      </c>
      <c r="C16" s="93"/>
      <c r="D16" s="93" t="s">
        <v>353</v>
      </c>
      <c r="E16" s="96">
        <f>(E10-(E11*E12/1000))/E14</f>
        <v>0.8731863405153425</v>
      </c>
      <c r="F16" s="96">
        <f t="shared" ref="F16:K16" si="4">(F10-(F11*F12/1000))/F14</f>
        <v>0.81065023140246717</v>
      </c>
      <c r="G16" s="96">
        <f t="shared" si="4"/>
        <v>0.81065023140246717</v>
      </c>
      <c r="H16" s="96">
        <f t="shared" si="4"/>
        <v>0.91613493664678447</v>
      </c>
      <c r="I16" s="96">
        <f t="shared" si="4"/>
        <v>0.91613493664678447</v>
      </c>
      <c r="J16" s="96">
        <f t="shared" si="4"/>
        <v>0.8825368885604169</v>
      </c>
      <c r="K16" s="96">
        <f t="shared" si="4"/>
        <v>0.8825368885604169</v>
      </c>
    </row>
    <row r="17" spans="2:11" ht="15" x14ac:dyDescent="0.2">
      <c r="B17" s="90" t="s">
        <v>401</v>
      </c>
      <c r="C17" s="93"/>
      <c r="D17" s="92" t="s">
        <v>197</v>
      </c>
      <c r="E17" s="124">
        <f>IFERROR(((E10-E11*E12/1000)*E15/E14)*100/(100-E9),0)</f>
        <v>4.257556415660595</v>
      </c>
      <c r="F17" s="124">
        <f>IFERROR(((F10-F11*F12/1000)*F15/F14)*100/(100-F9),0)</f>
        <v>4.027026013949043</v>
      </c>
      <c r="G17" s="124">
        <f>IFERROR(((G10-G11*G12/1000)*G15/G14)*100/(100-G9),0)</f>
        <v>4.027026013949043</v>
      </c>
      <c r="H17" s="124">
        <f t="shared" ref="H17:K17" si="5">ROUND(IFERROR(((H10-H11*H12/1000)*H15/H14)*100/(100-H9),0),3)</f>
        <v>4.0430000000000001</v>
      </c>
      <c r="I17" s="124">
        <f t="shared" si="5"/>
        <v>4.0430000000000001</v>
      </c>
      <c r="J17" s="124">
        <f t="shared" si="5"/>
        <v>3.702</v>
      </c>
      <c r="K17" s="124">
        <f t="shared" si="5"/>
        <v>3.702</v>
      </c>
    </row>
    <row r="18" spans="2:11" ht="15" x14ac:dyDescent="0.2">
      <c r="B18" s="90" t="s">
        <v>402</v>
      </c>
      <c r="C18" s="93"/>
      <c r="D18" s="92" t="s">
        <v>197</v>
      </c>
      <c r="E18" s="124">
        <f>IFERROR((E11*E13)*100/(100-E9),0)</f>
        <v>3.472154237765223E-2</v>
      </c>
      <c r="F18" s="124">
        <f>IFERROR((F11*F13)*100/(100-F9),0)</f>
        <v>4.3383709935325344E-2</v>
      </c>
      <c r="G18" s="124">
        <f>IFERROR((G11*G13)*100/(100-G9),0)</f>
        <v>4.3383709935325344E-2</v>
      </c>
      <c r="H18" s="124">
        <f t="shared" ref="H18:K18" si="6">ROUND(IFERROR((H11*H13)*100/(100-H9),0),3)</f>
        <v>3.4000000000000002E-2</v>
      </c>
      <c r="I18" s="124">
        <f t="shared" si="6"/>
        <v>3.4000000000000002E-2</v>
      </c>
      <c r="J18" s="124">
        <f t="shared" si="6"/>
        <v>3.5000000000000003E-2</v>
      </c>
      <c r="K18" s="124">
        <f t="shared" si="6"/>
        <v>3.5000000000000003E-2</v>
      </c>
    </row>
    <row r="19" spans="2:11" ht="15" x14ac:dyDescent="0.2">
      <c r="B19" s="92" t="s">
        <v>343</v>
      </c>
      <c r="C19" s="93"/>
      <c r="D19" s="92" t="s">
        <v>197</v>
      </c>
      <c r="E19" s="123">
        <f>IFERROR(((E10-E11*E12/1000)*E15/E14+E11*E13)*100/(100-E9),0)</f>
        <v>4.2922779580382473</v>
      </c>
      <c r="F19" s="123">
        <f>IFERROR(((F10-F11*F12/1000)*F15/F14+F11*F13)*100/(100-F9),0)</f>
        <v>4.0704097238843682</v>
      </c>
      <c r="G19" s="123">
        <f>IFERROR(((G10-G11*G12/1000)*G15/G14+G11*G13)*100/(100-G9),0)</f>
        <v>4.0704097238843682</v>
      </c>
      <c r="H19" s="123">
        <f t="shared" ref="H19:K19" si="7">ROUND(IFERROR(((H10-H11*H12/1000)*H15/H14+H11*H13)*100/(100-H9),0),3)</f>
        <v>4.077</v>
      </c>
      <c r="I19" s="123">
        <f t="shared" si="7"/>
        <v>4.077</v>
      </c>
      <c r="J19" s="123">
        <f t="shared" si="7"/>
        <v>3.7370000000000001</v>
      </c>
      <c r="K19" s="123">
        <f t="shared" si="7"/>
        <v>3.7370000000000001</v>
      </c>
    </row>
    <row r="23" spans="2:11" x14ac:dyDescent="0.2">
      <c r="E23" s="192"/>
    </row>
    <row r="24" spans="2:11" x14ac:dyDescent="0.2">
      <c r="E24" s="191"/>
    </row>
    <row r="25" spans="2:11" x14ac:dyDescent="0.2">
      <c r="E25" s="191"/>
    </row>
  </sheetData>
  <mergeCells count="6">
    <mergeCell ref="J6:K6"/>
    <mergeCell ref="E6:G6"/>
    <mergeCell ref="H6:I6"/>
    <mergeCell ref="B6:B8"/>
    <mergeCell ref="D6:D8"/>
    <mergeCell ref="C6:C8"/>
  </mergeCells>
  <pageMargins left="0.2" right="0.2"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6"/>
  <sheetViews>
    <sheetView showGridLines="0" topLeftCell="A6" zoomScale="93" zoomScaleNormal="93" zoomScaleSheetLayoutView="91" workbookViewId="0">
      <selection activeCell="L21" sqref="L21"/>
    </sheetView>
  </sheetViews>
  <sheetFormatPr defaultColWidth="9.28515625" defaultRowHeight="14.25" x14ac:dyDescent="0.2"/>
  <cols>
    <col min="1" max="1" width="3" style="13" customWidth="1"/>
    <col min="2" max="2" width="5.7109375" style="13" customWidth="1"/>
    <col min="3" max="3" width="36.7109375" style="13" customWidth="1"/>
    <col min="4" max="4" width="12.140625" style="13" customWidth="1"/>
    <col min="5" max="5" width="12.42578125" style="13" customWidth="1"/>
    <col min="6" max="6" width="12.140625" style="13" customWidth="1"/>
    <col min="7" max="7" width="11" style="13" customWidth="1"/>
    <col min="8" max="8" width="14.42578125" style="13" customWidth="1"/>
    <col min="9" max="9" width="13.42578125" style="13" customWidth="1"/>
    <col min="10" max="10" width="11.140625" style="13" customWidth="1"/>
    <col min="11" max="11" width="12.140625" style="13" customWidth="1"/>
    <col min="12" max="12" width="13.5703125" style="13" customWidth="1"/>
    <col min="13" max="13" width="12.28515625" style="13" customWidth="1"/>
    <col min="14" max="15" width="9.28515625" style="13"/>
    <col min="16" max="16" width="29.42578125" style="13" customWidth="1"/>
    <col min="17" max="16384" width="9.28515625" style="13"/>
  </cols>
  <sheetData>
    <row r="2" spans="2:15" ht="15" x14ac:dyDescent="0.2">
      <c r="C2" s="5"/>
      <c r="D2" s="5"/>
      <c r="E2" s="5"/>
      <c r="F2" s="32" t="s">
        <v>394</v>
      </c>
      <c r="G2" s="5"/>
      <c r="H2" s="5"/>
      <c r="I2" s="5"/>
      <c r="J2" s="5"/>
      <c r="K2" s="5"/>
      <c r="L2" s="5"/>
      <c r="M2" s="5"/>
    </row>
    <row r="3" spans="2:15" ht="15" x14ac:dyDescent="0.2">
      <c r="C3" s="5"/>
      <c r="D3" s="5"/>
      <c r="E3" s="5"/>
      <c r="F3" s="32" t="s">
        <v>397</v>
      </c>
      <c r="G3" s="5"/>
      <c r="H3" s="5"/>
      <c r="I3" s="5"/>
      <c r="J3" s="5"/>
      <c r="K3" s="5"/>
      <c r="L3" s="5"/>
      <c r="M3" s="5"/>
    </row>
    <row r="4" spans="2:15" s="4" customFormat="1" ht="15.75" x14ac:dyDescent="0.2">
      <c r="C4" s="5"/>
      <c r="D4" s="5"/>
      <c r="F4" s="67" t="s">
        <v>400</v>
      </c>
      <c r="G4" s="5"/>
      <c r="H4" s="5"/>
      <c r="I4" s="5"/>
      <c r="J4" s="5"/>
      <c r="K4" s="5"/>
      <c r="L4" s="5"/>
      <c r="M4" s="5"/>
    </row>
    <row r="5" spans="2:15" ht="12.75" customHeight="1" x14ac:dyDescent="0.2">
      <c r="B5" s="319" t="s">
        <v>188</v>
      </c>
      <c r="C5" s="322" t="s">
        <v>14</v>
      </c>
      <c r="D5" s="316" t="s">
        <v>35</v>
      </c>
      <c r="E5" s="322" t="s">
        <v>1</v>
      </c>
      <c r="F5" s="326" t="s">
        <v>395</v>
      </c>
      <c r="G5" s="327"/>
      <c r="H5" s="328"/>
      <c r="I5" s="326" t="s">
        <v>396</v>
      </c>
      <c r="J5" s="328"/>
      <c r="K5" s="326" t="s">
        <v>462</v>
      </c>
      <c r="L5" s="328"/>
      <c r="M5" s="324" t="s">
        <v>11</v>
      </c>
    </row>
    <row r="6" spans="2:15" ht="60" customHeight="1" x14ac:dyDescent="0.2">
      <c r="B6" s="320"/>
      <c r="C6" s="322"/>
      <c r="D6" s="317"/>
      <c r="E6" s="322"/>
      <c r="F6" s="15" t="s">
        <v>362</v>
      </c>
      <c r="G6" s="15" t="s">
        <v>222</v>
      </c>
      <c r="H6" s="15" t="s">
        <v>461</v>
      </c>
      <c r="I6" s="15" t="s">
        <v>362</v>
      </c>
      <c r="J6" s="15" t="s">
        <v>224</v>
      </c>
      <c r="K6" s="15" t="s">
        <v>362</v>
      </c>
      <c r="L6" s="15" t="s">
        <v>224</v>
      </c>
      <c r="M6" s="324"/>
    </row>
    <row r="7" spans="2:15" ht="30" x14ac:dyDescent="0.2">
      <c r="B7" s="321"/>
      <c r="C7" s="323"/>
      <c r="D7" s="318"/>
      <c r="E7" s="323"/>
      <c r="F7" s="15" t="s">
        <v>10</v>
      </c>
      <c r="G7" s="15" t="s">
        <v>12</v>
      </c>
      <c r="H7" s="15" t="s">
        <v>223</v>
      </c>
      <c r="I7" s="15" t="s">
        <v>10</v>
      </c>
      <c r="J7" s="15" t="s">
        <v>458</v>
      </c>
      <c r="K7" s="15" t="s">
        <v>10</v>
      </c>
      <c r="L7" s="15" t="s">
        <v>458</v>
      </c>
      <c r="M7" s="325"/>
      <c r="O7" s="129"/>
    </row>
    <row r="8" spans="2:15" ht="15" x14ac:dyDescent="0.2">
      <c r="B8" s="22" t="s">
        <v>63</v>
      </c>
      <c r="C8" s="23" t="s">
        <v>227</v>
      </c>
      <c r="D8" s="20"/>
      <c r="E8" s="20"/>
      <c r="F8" s="15"/>
      <c r="G8" s="15"/>
      <c r="H8" s="15"/>
      <c r="I8" s="15"/>
      <c r="J8" s="15"/>
      <c r="K8" s="15"/>
      <c r="L8" s="15"/>
      <c r="M8" s="21"/>
    </row>
    <row r="9" spans="2:15" ht="15" x14ac:dyDescent="0.2">
      <c r="B9" s="2">
        <v>1</v>
      </c>
      <c r="C9" s="3" t="s">
        <v>32</v>
      </c>
      <c r="D9" s="2" t="s">
        <v>198</v>
      </c>
      <c r="E9" s="17" t="s">
        <v>258</v>
      </c>
      <c r="F9" s="268">
        <f>'F2'!E13</f>
        <v>206.99</v>
      </c>
      <c r="G9" s="268">
        <f>'F2'!F13</f>
        <v>285.64999999999998</v>
      </c>
      <c r="H9" s="268">
        <f>'F2'!G13</f>
        <v>285.64999999999998</v>
      </c>
      <c r="I9" s="268">
        <f>'F2'!H13</f>
        <v>218.71</v>
      </c>
      <c r="J9" s="268">
        <f>'F2'!I13</f>
        <v>299.98</v>
      </c>
      <c r="K9" s="268">
        <f>'F2'!J13</f>
        <v>230.98</v>
      </c>
      <c r="L9" s="268">
        <f>'F2'!K13</f>
        <v>312.97000000000003</v>
      </c>
      <c r="M9" s="111"/>
    </row>
    <row r="10" spans="2:15" ht="15" x14ac:dyDescent="0.2">
      <c r="B10" s="2">
        <f t="shared" ref="B10:B15" si="0">B9+1</f>
        <v>2</v>
      </c>
      <c r="C10" s="18" t="s">
        <v>163</v>
      </c>
      <c r="D10" s="2" t="s">
        <v>198</v>
      </c>
      <c r="E10" s="17" t="s">
        <v>19</v>
      </c>
      <c r="F10" s="269">
        <v>1.44</v>
      </c>
      <c r="G10" s="269">
        <f>H10</f>
        <v>29.19</v>
      </c>
      <c r="H10" s="268">
        <f>'F4'!K22</f>
        <v>29.19</v>
      </c>
      <c r="I10" s="270">
        <v>1.44</v>
      </c>
      <c r="J10" s="268">
        <f>'F4'!K39</f>
        <v>30.5</v>
      </c>
      <c r="K10" s="270">
        <v>1.44</v>
      </c>
      <c r="L10" s="268">
        <f>'F4'!K56</f>
        <v>34.56</v>
      </c>
      <c r="M10" s="111"/>
    </row>
    <row r="11" spans="2:15" ht="15" x14ac:dyDescent="0.2">
      <c r="B11" s="2">
        <f t="shared" si="0"/>
        <v>3</v>
      </c>
      <c r="C11" s="3" t="s">
        <v>225</v>
      </c>
      <c r="D11" s="2" t="s">
        <v>198</v>
      </c>
      <c r="E11" s="16" t="s">
        <v>25</v>
      </c>
      <c r="F11" s="268">
        <f>'F5'!D21</f>
        <v>0.23</v>
      </c>
      <c r="G11" s="268">
        <f>'F5'!E21</f>
        <v>0</v>
      </c>
      <c r="H11" s="268">
        <f>'F5'!F21</f>
        <v>0</v>
      </c>
      <c r="I11" s="268">
        <f>'F5'!G21</f>
        <v>0.38</v>
      </c>
      <c r="J11" s="268">
        <f>'F5'!H21</f>
        <v>0</v>
      </c>
      <c r="K11" s="268">
        <f>'F5'!I21</f>
        <v>0.24</v>
      </c>
      <c r="L11" s="268">
        <f>'F5'!J21</f>
        <v>0</v>
      </c>
      <c r="M11" s="111"/>
    </row>
    <row r="12" spans="2:15" ht="15" x14ac:dyDescent="0.2">
      <c r="B12" s="2">
        <f t="shared" si="0"/>
        <v>4</v>
      </c>
      <c r="C12" s="18" t="s">
        <v>33</v>
      </c>
      <c r="D12" s="2" t="s">
        <v>198</v>
      </c>
      <c r="E12" s="16" t="s">
        <v>26</v>
      </c>
      <c r="F12" s="268">
        <f>'F6'!D19</f>
        <v>33.74</v>
      </c>
      <c r="G12" s="268">
        <f ca="1">'F6'!E19</f>
        <v>36.450000000000003</v>
      </c>
      <c r="H12" s="268">
        <f ca="1">'F6'!F19</f>
        <v>36.450000000000003</v>
      </c>
      <c r="I12" s="268">
        <f>'F6'!G19</f>
        <v>34.46</v>
      </c>
      <c r="J12" s="268">
        <f ca="1">'F6'!H19</f>
        <v>36.28</v>
      </c>
      <c r="K12" s="268">
        <f>'F6'!I19</f>
        <v>34.71</v>
      </c>
      <c r="L12" s="268">
        <f ca="1">'F6'!J19</f>
        <v>34.49</v>
      </c>
      <c r="M12" s="111"/>
    </row>
    <row r="13" spans="2:15" ht="15" x14ac:dyDescent="0.2">
      <c r="B13" s="2">
        <f t="shared" si="0"/>
        <v>5</v>
      </c>
      <c r="C13" s="3" t="s">
        <v>226</v>
      </c>
      <c r="D13" s="2" t="s">
        <v>198</v>
      </c>
      <c r="E13" s="16" t="s">
        <v>27</v>
      </c>
      <c r="F13" s="268">
        <f>'F7'!D21</f>
        <v>104.8</v>
      </c>
      <c r="G13" s="268">
        <f>'F7'!E21</f>
        <v>141.36000000000001</v>
      </c>
      <c r="H13" s="268">
        <f>'F7'!F21</f>
        <v>141.36000000000001</v>
      </c>
      <c r="I13" s="268">
        <f>'F7'!G21</f>
        <v>141.46</v>
      </c>
      <c r="J13" s="268">
        <f>'F7'!H21</f>
        <v>141.66</v>
      </c>
      <c r="K13" s="268">
        <f>'F7'!I21</f>
        <v>141.46</v>
      </c>
      <c r="L13" s="268">
        <f>'F7'!J21</f>
        <v>142.36000000000001</v>
      </c>
      <c r="M13" s="111"/>
    </row>
    <row r="14" spans="2:15" ht="15" x14ac:dyDescent="0.2">
      <c r="B14" s="2">
        <f t="shared" si="0"/>
        <v>6</v>
      </c>
      <c r="C14" s="3" t="s">
        <v>34</v>
      </c>
      <c r="D14" s="2" t="s">
        <v>198</v>
      </c>
      <c r="E14" s="16" t="s">
        <v>28</v>
      </c>
      <c r="F14" s="268">
        <f>'F8'!D28</f>
        <v>15.22</v>
      </c>
      <c r="G14" s="268">
        <f>'F8'!E28</f>
        <v>8.35</v>
      </c>
      <c r="H14" s="268">
        <f>G14</f>
        <v>8.35</v>
      </c>
      <c r="I14" s="268">
        <f>'F8'!G28</f>
        <v>15.83</v>
      </c>
      <c r="J14" s="268">
        <f>'F8'!H28</f>
        <v>9.07</v>
      </c>
      <c r="K14" s="268">
        <f>'F8'!I28</f>
        <v>16.46</v>
      </c>
      <c r="L14" s="268">
        <f>'F8'!J28</f>
        <v>9.44</v>
      </c>
      <c r="M14" s="111"/>
    </row>
    <row r="15" spans="2:15" ht="15" x14ac:dyDescent="0.2">
      <c r="B15" s="14">
        <f t="shared" si="0"/>
        <v>7</v>
      </c>
      <c r="C15" s="19" t="s">
        <v>227</v>
      </c>
      <c r="D15" s="14" t="s">
        <v>198</v>
      </c>
      <c r="E15" s="16"/>
      <c r="F15" s="268">
        <f>SUM(F9:F13)-F14</f>
        <v>331.97999999999996</v>
      </c>
      <c r="G15" s="268">
        <f ca="1">SUM(G9:G13)-G14</f>
        <v>484.29999999999995</v>
      </c>
      <c r="H15" s="268">
        <f t="shared" ref="H15:J15" ca="1" si="1">SUM(H9:H13)-H14</f>
        <v>484.29999999999995</v>
      </c>
      <c r="I15" s="268">
        <f t="shared" si="1"/>
        <v>380.62000000000006</v>
      </c>
      <c r="J15" s="268">
        <f t="shared" ca="1" si="1"/>
        <v>499.34999999999997</v>
      </c>
      <c r="K15" s="268">
        <f>SUM(K9:K13)-K14</f>
        <v>392.37000000000006</v>
      </c>
      <c r="L15" s="268">
        <f t="shared" ref="L15" ca="1" si="2">SUM(L9:L13)-L14</f>
        <v>514.94000000000005</v>
      </c>
      <c r="M15" s="111"/>
    </row>
    <row r="16" spans="2:15" ht="15" x14ac:dyDescent="0.2">
      <c r="B16" s="14" t="s">
        <v>67</v>
      </c>
      <c r="C16" s="14" t="s">
        <v>228</v>
      </c>
      <c r="D16" s="16"/>
      <c r="E16" s="16"/>
      <c r="F16" s="112"/>
      <c r="G16" s="112"/>
      <c r="H16" s="112"/>
      <c r="I16" s="112"/>
      <c r="J16" s="112"/>
      <c r="K16" s="112"/>
      <c r="L16" s="112"/>
      <c r="M16" s="3"/>
    </row>
    <row r="17" spans="2:16" ht="15" x14ac:dyDescent="0.2">
      <c r="B17" s="2">
        <v>1</v>
      </c>
      <c r="C17" s="16" t="s">
        <v>229</v>
      </c>
      <c r="D17" s="2" t="s">
        <v>197</v>
      </c>
      <c r="E17" s="16" t="s">
        <v>160</v>
      </c>
      <c r="F17" s="271">
        <f>'F12'!E19</f>
        <v>4.2922779580382473</v>
      </c>
      <c r="G17" s="271">
        <f>'F12'!F19</f>
        <v>4.0704097238843682</v>
      </c>
      <c r="H17" s="271">
        <f>'F12'!G19</f>
        <v>4.0704097238843682</v>
      </c>
      <c r="I17" s="271">
        <f>'F12'!H19</f>
        <v>4.077</v>
      </c>
      <c r="J17" s="271">
        <f>'F12'!I19</f>
        <v>4.077</v>
      </c>
      <c r="K17" s="271">
        <f>'F12'!J19</f>
        <v>3.7370000000000001</v>
      </c>
      <c r="L17" s="271">
        <f>'F12'!K19</f>
        <v>3.7370000000000001</v>
      </c>
      <c r="M17" s="3"/>
      <c r="O17" s="129"/>
    </row>
    <row r="18" spans="2:16" ht="15" x14ac:dyDescent="0.2">
      <c r="B18" s="2">
        <f>B17+1</f>
        <v>2</v>
      </c>
      <c r="C18" s="16" t="s">
        <v>230</v>
      </c>
      <c r="D18" s="2" t="s">
        <v>41</v>
      </c>
      <c r="E18" s="16" t="s">
        <v>30</v>
      </c>
      <c r="F18" s="268">
        <f>'F10'!F30</f>
        <v>2568.9506000000001</v>
      </c>
      <c r="G18" s="268">
        <f>'F10'!G30</f>
        <v>2568.9506000000001</v>
      </c>
      <c r="H18" s="268">
        <f>G18</f>
        <v>2568.9506000000001</v>
      </c>
      <c r="I18" s="268">
        <f>'F10'!I23</f>
        <v>2921.38</v>
      </c>
      <c r="J18" s="268">
        <f>I18</f>
        <v>2921.38</v>
      </c>
      <c r="K18" s="268">
        <f>'F10'!K23</f>
        <v>3378.12</v>
      </c>
      <c r="L18" s="268">
        <f>K18</f>
        <v>3378.12</v>
      </c>
      <c r="M18" s="3"/>
    </row>
    <row r="19" spans="2:16" ht="15" x14ac:dyDescent="0.2">
      <c r="B19" s="2">
        <f>B18+1</f>
        <v>3</v>
      </c>
      <c r="C19" s="16" t="s">
        <v>228</v>
      </c>
      <c r="D19" s="2" t="s">
        <v>198</v>
      </c>
      <c r="E19" s="16"/>
      <c r="F19" s="268">
        <f>F17*F18/10</f>
        <v>1102.6650035669131</v>
      </c>
      <c r="G19" s="268">
        <f t="shared" ref="G19:L19" si="3">G17*G18/10</f>
        <v>1045.6681502418583</v>
      </c>
      <c r="H19" s="268">
        <f t="shared" si="3"/>
        <v>1045.6681502418583</v>
      </c>
      <c r="I19" s="268">
        <f t="shared" si="3"/>
        <v>1191.0466260000001</v>
      </c>
      <c r="J19" s="268">
        <f t="shared" si="3"/>
        <v>1191.0466260000001</v>
      </c>
      <c r="K19" s="268">
        <f t="shared" si="3"/>
        <v>1262.403444</v>
      </c>
      <c r="L19" s="268">
        <f t="shared" si="3"/>
        <v>1262.403444</v>
      </c>
      <c r="M19" s="3"/>
    </row>
    <row r="20" spans="2:16" ht="15" x14ac:dyDescent="0.2">
      <c r="B20" s="14" t="s">
        <v>68</v>
      </c>
      <c r="C20" s="14" t="s">
        <v>386</v>
      </c>
      <c r="D20" s="2" t="s">
        <v>198</v>
      </c>
      <c r="E20" s="3"/>
      <c r="F20" s="272">
        <f>F15+F19</f>
        <v>1434.6450035669131</v>
      </c>
      <c r="G20" s="268">
        <f t="shared" ref="G20:L20" ca="1" si="4">G15+G19</f>
        <v>1529.9681502418582</v>
      </c>
      <c r="H20" s="268">
        <f t="shared" ca="1" si="4"/>
        <v>1529.9681502418582</v>
      </c>
      <c r="I20" s="268">
        <f t="shared" si="4"/>
        <v>1571.6666260000002</v>
      </c>
      <c r="J20" s="268">
        <f t="shared" ca="1" si="4"/>
        <v>1690.396626</v>
      </c>
      <c r="K20" s="268">
        <f t="shared" si="4"/>
        <v>1654.7734440000002</v>
      </c>
      <c r="L20" s="268">
        <f t="shared" ca="1" si="4"/>
        <v>1777.3434440000001</v>
      </c>
      <c r="M20" s="3"/>
    </row>
    <row r="21" spans="2:16" x14ac:dyDescent="0.2">
      <c r="F21" s="129"/>
    </row>
    <row r="22" spans="2:16" x14ac:dyDescent="0.2">
      <c r="F22" s="208"/>
      <c r="P22" s="209"/>
    </row>
    <row r="26" spans="2:16" x14ac:dyDescent="0.2">
      <c r="O26" s="129"/>
    </row>
  </sheetData>
  <mergeCells count="8">
    <mergeCell ref="D5:D7"/>
    <mergeCell ref="B5:B7"/>
    <mergeCell ref="C5:C7"/>
    <mergeCell ref="E5:E7"/>
    <mergeCell ref="M5:M7"/>
    <mergeCell ref="F5:H5"/>
    <mergeCell ref="I5:J5"/>
    <mergeCell ref="K5:L5"/>
  </mergeCells>
  <pageMargins left="0.23" right="0.23" top="0.92" bottom="1" header="0.5" footer="0.5"/>
  <pageSetup paperSize="9" scale="93"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showGridLines="0" view="pageBreakPreview" topLeftCell="A2" zoomScale="81" zoomScaleNormal="93" zoomScaleSheetLayoutView="81" workbookViewId="0">
      <selection activeCell="P2" sqref="P1:Q1048576"/>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1:15" ht="15" x14ac:dyDescent="0.2">
      <c r="B1" s="95"/>
    </row>
    <row r="2" spans="1:15" ht="15" x14ac:dyDescent="0.2">
      <c r="I2" s="32" t="s">
        <v>394</v>
      </c>
    </row>
    <row r="3" spans="1:15" ht="15" x14ac:dyDescent="0.2">
      <c r="I3" s="32" t="s">
        <v>397</v>
      </c>
    </row>
    <row r="4" spans="1:15" ht="15" x14ac:dyDescent="0.2">
      <c r="C4" s="72"/>
      <c r="D4" s="72"/>
      <c r="E4" s="72"/>
      <c r="F4" s="72"/>
      <c r="G4" s="72"/>
      <c r="H4" s="72"/>
      <c r="I4" s="35" t="s">
        <v>357</v>
      </c>
    </row>
    <row r="5" spans="1:15" ht="15" x14ac:dyDescent="0.2">
      <c r="B5" s="24" t="s">
        <v>395</v>
      </c>
      <c r="C5" s="72"/>
      <c r="D5" s="72"/>
      <c r="E5" s="72"/>
      <c r="F5" s="72"/>
      <c r="G5" s="72"/>
      <c r="H5" s="72"/>
      <c r="I5" s="72"/>
      <c r="J5" s="72"/>
      <c r="K5" s="72"/>
      <c r="L5" s="72"/>
      <c r="M5" s="72"/>
      <c r="N5" s="72"/>
      <c r="O5" s="35"/>
    </row>
    <row r="6" spans="1:15" ht="15" customHeight="1" x14ac:dyDescent="0.2">
      <c r="A6" s="5" t="s">
        <v>356</v>
      </c>
      <c r="B6" s="24" t="s">
        <v>12</v>
      </c>
      <c r="C6" s="25"/>
      <c r="D6" s="25"/>
      <c r="O6" s="25" t="s">
        <v>136</v>
      </c>
    </row>
    <row r="7" spans="1:15" ht="15" x14ac:dyDescent="0.2">
      <c r="B7" s="332" t="s">
        <v>358</v>
      </c>
      <c r="C7" s="374" t="s">
        <v>149</v>
      </c>
      <c r="D7" s="350"/>
      <c r="E7" s="350"/>
      <c r="F7" s="350"/>
      <c r="G7" s="350"/>
      <c r="H7" s="350"/>
      <c r="I7" s="350"/>
      <c r="J7" s="350"/>
      <c r="K7" s="350"/>
      <c r="L7" s="350"/>
      <c r="M7" s="350"/>
      <c r="N7" s="351"/>
      <c r="O7" s="168" t="s">
        <v>150</v>
      </c>
    </row>
    <row r="8" spans="1:15" ht="15" x14ac:dyDescent="0.2">
      <c r="B8" s="334"/>
      <c r="C8" s="168" t="s">
        <v>137</v>
      </c>
      <c r="D8" s="168" t="s">
        <v>138</v>
      </c>
      <c r="E8" s="193" t="s">
        <v>139</v>
      </c>
      <c r="F8" s="193" t="s">
        <v>140</v>
      </c>
      <c r="G8" s="193" t="s">
        <v>141</v>
      </c>
      <c r="H8" s="193" t="s">
        <v>142</v>
      </c>
      <c r="I8" s="193" t="s">
        <v>143</v>
      </c>
      <c r="J8" s="193" t="s">
        <v>144</v>
      </c>
      <c r="K8" s="193" t="s">
        <v>145</v>
      </c>
      <c r="L8" s="193" t="s">
        <v>146</v>
      </c>
      <c r="M8" s="193" t="s">
        <v>147</v>
      </c>
      <c r="N8" s="193" t="s">
        <v>148</v>
      </c>
      <c r="O8" s="194"/>
    </row>
    <row r="9" spans="1:15" s="32" customFormat="1" ht="15" x14ac:dyDescent="0.2">
      <c r="B9" s="141" t="s">
        <v>453</v>
      </c>
      <c r="C9" s="195">
        <f>246.3536*0.7055</f>
        <v>173.8024648</v>
      </c>
      <c r="D9" s="195">
        <f>247.466*0.7055</f>
        <v>174.58726300000001</v>
      </c>
      <c r="E9" s="195">
        <f>171.00725*0.7055</f>
        <v>120.64561487500001</v>
      </c>
      <c r="F9" s="195">
        <f>126.19*0.7055</f>
        <v>89.027045000000001</v>
      </c>
      <c r="G9" s="195">
        <f>142.56*0.7055</f>
        <v>100.57608</v>
      </c>
      <c r="H9" s="195">
        <f>139.77*0.7055</f>
        <v>98.607735000000005</v>
      </c>
      <c r="I9" s="195">
        <f>240.5*0.7055</f>
        <v>169.67275000000001</v>
      </c>
      <c r="J9" s="195">
        <f>223.8911*0.7055</f>
        <v>157.95517104999999</v>
      </c>
      <c r="K9" s="195">
        <f>256.79*0.7055</f>
        <v>181.16534500000003</v>
      </c>
      <c r="L9" s="195">
        <f>247.48*0.7055</f>
        <v>174.59714</v>
      </c>
      <c r="M9" s="195">
        <f>246.59*0.7055</f>
        <v>173.969245</v>
      </c>
      <c r="N9" s="195">
        <f>280.36*0.7055</f>
        <v>197.79398</v>
      </c>
      <c r="O9" s="195">
        <f>SUM(C9:N9)</f>
        <v>1812.3998337250002</v>
      </c>
    </row>
    <row r="10" spans="1:15" s="32" customFormat="1" ht="15" x14ac:dyDescent="0.2">
      <c r="B10" s="141"/>
      <c r="C10" s="195"/>
      <c r="D10" s="195"/>
      <c r="E10" s="195"/>
      <c r="F10" s="195"/>
      <c r="G10" s="195"/>
      <c r="H10" s="195"/>
      <c r="I10" s="195"/>
      <c r="J10" s="195"/>
      <c r="K10" s="195"/>
      <c r="L10" s="195"/>
      <c r="M10" s="195"/>
      <c r="N10" s="195"/>
      <c r="O10" s="195"/>
    </row>
    <row r="11" spans="1:15" s="32" customFormat="1" ht="15" x14ac:dyDescent="0.2">
      <c r="B11" s="141" t="s">
        <v>454</v>
      </c>
      <c r="C11" s="195">
        <f>246.3536*0.2945</f>
        <v>72.55113519999999</v>
      </c>
      <c r="D11" s="195">
        <f>247.466*0.2945</f>
        <v>72.878737000000001</v>
      </c>
      <c r="E11" s="195">
        <f>171.00725*0.2945</f>
        <v>50.361635124999999</v>
      </c>
      <c r="F11" s="195">
        <f>126.19*0.2945</f>
        <v>37.162954999999997</v>
      </c>
      <c r="G11" s="195">
        <f>142.56*0.2945</f>
        <v>41.983919999999998</v>
      </c>
      <c r="H11" s="195">
        <f>139.77*0.2945</f>
        <v>41.162264999999998</v>
      </c>
      <c r="I11" s="195">
        <f>240.5*0.2945</f>
        <v>70.827249999999992</v>
      </c>
      <c r="J11" s="195">
        <f>223.8911*0.2945</f>
        <v>65.93592894999999</v>
      </c>
      <c r="K11" s="195">
        <f>0.2945*256.79</f>
        <v>75.624655000000004</v>
      </c>
      <c r="L11" s="195">
        <f>247.48*0.2945</f>
        <v>72.882859999999994</v>
      </c>
      <c r="M11" s="195">
        <f>246.59*0.2945</f>
        <v>72.620755000000003</v>
      </c>
      <c r="N11" s="195">
        <f>280.36*0.2945</f>
        <v>82.566019999999995</v>
      </c>
      <c r="O11" s="195">
        <f>SUM(C11:N11)</f>
        <v>756.55811627499986</v>
      </c>
    </row>
    <row r="12" spans="1:15" s="32" customFormat="1" ht="15" x14ac:dyDescent="0.2">
      <c r="B12" s="196"/>
      <c r="C12" s="197"/>
      <c r="D12" s="197"/>
      <c r="E12" s="197"/>
      <c r="F12" s="197"/>
      <c r="G12" s="197"/>
      <c r="H12" s="197"/>
      <c r="I12" s="197"/>
      <c r="J12" s="197"/>
      <c r="K12" s="197"/>
      <c r="L12" s="197"/>
      <c r="M12" s="197"/>
      <c r="N12" s="197"/>
      <c r="O12" s="197"/>
    </row>
    <row r="13" spans="1:15" ht="15" x14ac:dyDescent="0.2">
      <c r="B13" s="198" t="s">
        <v>135</v>
      </c>
      <c r="C13" s="199">
        <f>C9+C11</f>
        <v>246.35359999999997</v>
      </c>
      <c r="D13" s="199">
        <f t="shared" ref="D13:N13" si="0">D9+D11</f>
        <v>247.46600000000001</v>
      </c>
      <c r="E13" s="199">
        <f t="shared" si="0"/>
        <v>171.00725</v>
      </c>
      <c r="F13" s="199">
        <f t="shared" si="0"/>
        <v>126.19</v>
      </c>
      <c r="G13" s="199">
        <f t="shared" si="0"/>
        <v>142.56</v>
      </c>
      <c r="H13" s="199">
        <f>H9+H11</f>
        <v>139.77000000000001</v>
      </c>
      <c r="I13" s="199">
        <f t="shared" si="0"/>
        <v>240.5</v>
      </c>
      <c r="J13" s="199">
        <f t="shared" si="0"/>
        <v>223.89109999999999</v>
      </c>
      <c r="K13" s="199">
        <f t="shared" si="0"/>
        <v>256.79000000000002</v>
      </c>
      <c r="L13" s="199">
        <f>L9+L11</f>
        <v>247.48</v>
      </c>
      <c r="M13" s="199">
        <f t="shared" si="0"/>
        <v>246.59</v>
      </c>
      <c r="N13" s="199">
        <f t="shared" si="0"/>
        <v>280.36</v>
      </c>
      <c r="O13" s="199">
        <f>O9+O11</f>
        <v>2568.95795</v>
      </c>
    </row>
    <row r="15" spans="1:15" ht="18.75" customHeight="1" x14ac:dyDescent="0.2">
      <c r="B15" s="24"/>
      <c r="C15" s="72"/>
      <c r="D15" s="72"/>
      <c r="E15" s="72"/>
      <c r="F15" s="72"/>
      <c r="G15" s="72"/>
      <c r="H15" s="72"/>
      <c r="I15" s="72"/>
      <c r="J15" s="72"/>
      <c r="K15" s="72"/>
      <c r="L15" s="72"/>
      <c r="M15" s="72"/>
      <c r="N15" s="72"/>
      <c r="O15" s="35"/>
    </row>
    <row r="16" spans="1:15" ht="15" x14ac:dyDescent="0.2">
      <c r="B16" s="24" t="s">
        <v>396</v>
      </c>
      <c r="C16" s="72"/>
      <c r="D16" s="72"/>
      <c r="E16" s="72"/>
      <c r="F16" s="72"/>
      <c r="G16" s="72"/>
      <c r="H16" s="72"/>
      <c r="I16" s="35"/>
      <c r="O16" s="25" t="s">
        <v>136</v>
      </c>
    </row>
    <row r="17" spans="2:15" ht="15" x14ac:dyDescent="0.2">
      <c r="B17" s="200"/>
      <c r="C17" s="374" t="s">
        <v>149</v>
      </c>
      <c r="D17" s="350"/>
      <c r="E17" s="350"/>
      <c r="F17" s="350"/>
      <c r="G17" s="350"/>
      <c r="H17" s="351"/>
      <c r="I17" s="374" t="s">
        <v>5</v>
      </c>
      <c r="J17" s="350"/>
      <c r="K17" s="350"/>
      <c r="L17" s="350"/>
      <c r="M17" s="350"/>
      <c r="N17" s="350"/>
      <c r="O17" s="351"/>
    </row>
    <row r="18" spans="2:15" ht="15" x14ac:dyDescent="0.2">
      <c r="B18" s="168" t="s">
        <v>358</v>
      </c>
      <c r="C18" s="168" t="s">
        <v>137</v>
      </c>
      <c r="D18" s="168" t="s">
        <v>138</v>
      </c>
      <c r="E18" s="193" t="s">
        <v>139</v>
      </c>
      <c r="F18" s="193" t="s">
        <v>140</v>
      </c>
      <c r="G18" s="193" t="s">
        <v>141</v>
      </c>
      <c r="H18" s="193" t="s">
        <v>142</v>
      </c>
      <c r="I18" s="193" t="s">
        <v>143</v>
      </c>
      <c r="J18" s="193" t="s">
        <v>144</v>
      </c>
      <c r="K18" s="193" t="s">
        <v>145</v>
      </c>
      <c r="L18" s="193" t="s">
        <v>146</v>
      </c>
      <c r="M18" s="193" t="s">
        <v>147</v>
      </c>
      <c r="N18" s="193" t="s">
        <v>148</v>
      </c>
      <c r="O18" s="193" t="s">
        <v>135</v>
      </c>
    </row>
    <row r="19" spans="2:15" ht="15" x14ac:dyDescent="0.2">
      <c r="B19" s="141" t="s">
        <v>453</v>
      </c>
      <c r="C19" s="195">
        <f>246.88*0.7055</f>
        <v>174.17384000000001</v>
      </c>
      <c r="D19" s="195">
        <f>242.29*0.7055</f>
        <v>170.93559500000001</v>
      </c>
      <c r="E19" s="195">
        <f>131.02*0.7055</f>
        <v>92.434610000000006</v>
      </c>
      <c r="F19" s="195">
        <f>195.01*0.7055</f>
        <v>137.579555</v>
      </c>
      <c r="G19" s="195">
        <f>178.22*0.7055</f>
        <v>125.73421</v>
      </c>
      <c r="H19" s="195">
        <f>194.67*0.7055</f>
        <v>137.339685</v>
      </c>
      <c r="I19" s="195">
        <f>295.23*0.7055</f>
        <v>208.28476500000002</v>
      </c>
      <c r="J19" s="195">
        <f>285.71*0.7055</f>
        <v>201.56840499999998</v>
      </c>
      <c r="K19" s="195">
        <f>295.23*0.7055</f>
        <v>208.28476500000002</v>
      </c>
      <c r="L19" s="195">
        <f>295.23*0.7055</f>
        <v>208.28476500000002</v>
      </c>
      <c r="M19" s="195">
        <f>266.66*0.7055</f>
        <v>188.12863000000002</v>
      </c>
      <c r="N19" s="195">
        <f>295.23*0.7055</f>
        <v>208.28476500000002</v>
      </c>
      <c r="O19" s="195">
        <f>SUM(C19:N19)</f>
        <v>2061.03359</v>
      </c>
    </row>
    <row r="20" spans="2:15" ht="15" x14ac:dyDescent="0.2">
      <c r="B20" s="141"/>
      <c r="C20" s="195"/>
      <c r="D20" s="195"/>
      <c r="E20" s="195"/>
      <c r="F20" s="195"/>
      <c r="G20" s="195"/>
      <c r="H20" s="195"/>
      <c r="I20" s="195"/>
      <c r="J20" s="195"/>
      <c r="K20" s="195"/>
      <c r="L20" s="195"/>
      <c r="M20" s="195"/>
      <c r="N20" s="195"/>
      <c r="O20" s="197"/>
    </row>
    <row r="21" spans="2:15" ht="15" x14ac:dyDescent="0.2">
      <c r="B21" s="141" t="s">
        <v>454</v>
      </c>
      <c r="C21" s="195">
        <f>246.88*0.2945</f>
        <v>72.706159999999997</v>
      </c>
      <c r="D21" s="195">
        <f>242.29*0.2945</f>
        <v>71.354405</v>
      </c>
      <c r="E21" s="195">
        <f>131.02*0.2945</f>
        <v>38.585390000000004</v>
      </c>
      <c r="F21" s="195">
        <f>195.01*0.2945</f>
        <v>57.430444999999992</v>
      </c>
      <c r="G21" s="195">
        <f>178.22*0.2945</f>
        <v>52.485789999999994</v>
      </c>
      <c r="H21" s="195">
        <f>194.67*0.2945</f>
        <v>57.330314999999992</v>
      </c>
      <c r="I21" s="195">
        <f>295.23*0.2945</f>
        <v>86.945234999999997</v>
      </c>
      <c r="J21" s="195">
        <f>285.71*0.2945</f>
        <v>84.141594999999995</v>
      </c>
      <c r="K21" s="195">
        <f>295.23*0.2945</f>
        <v>86.945234999999997</v>
      </c>
      <c r="L21" s="195">
        <f>295.23*0.2945</f>
        <v>86.945234999999997</v>
      </c>
      <c r="M21" s="195">
        <f>266.66*0.2945</f>
        <v>78.53137000000001</v>
      </c>
      <c r="N21" s="195">
        <f>295.23*0.2945</f>
        <v>86.945234999999997</v>
      </c>
      <c r="O21" s="195">
        <f>SUM(C21:N21)</f>
        <v>860.34641000000011</v>
      </c>
    </row>
    <row r="22" spans="2:15" x14ac:dyDescent="0.2">
      <c r="B22" s="196"/>
      <c r="C22" s="201"/>
      <c r="D22" s="201"/>
      <c r="E22" s="201"/>
      <c r="F22" s="201"/>
      <c r="G22" s="201"/>
      <c r="H22" s="201"/>
      <c r="I22" s="202"/>
      <c r="J22" s="202"/>
      <c r="K22" s="202"/>
      <c r="L22" s="202"/>
      <c r="M22" s="202"/>
      <c r="N22" s="202"/>
      <c r="O22" s="202"/>
    </row>
    <row r="23" spans="2:15" ht="15" x14ac:dyDescent="0.2">
      <c r="B23" s="198" t="s">
        <v>135</v>
      </c>
      <c r="C23" s="199">
        <f>C19+C21</f>
        <v>246.88</v>
      </c>
      <c r="D23" s="199">
        <f t="shared" ref="D23:N23" si="1">D19+D21</f>
        <v>242.29000000000002</v>
      </c>
      <c r="E23" s="199">
        <f t="shared" si="1"/>
        <v>131.02000000000001</v>
      </c>
      <c r="F23" s="199">
        <f t="shared" si="1"/>
        <v>195.01</v>
      </c>
      <c r="G23" s="199">
        <f t="shared" si="1"/>
        <v>178.22</v>
      </c>
      <c r="H23" s="199">
        <f t="shared" si="1"/>
        <v>194.67</v>
      </c>
      <c r="I23" s="199">
        <f t="shared" si="1"/>
        <v>295.23</v>
      </c>
      <c r="J23" s="199">
        <f t="shared" si="1"/>
        <v>285.70999999999998</v>
      </c>
      <c r="K23" s="199">
        <f>K19+K21</f>
        <v>295.23</v>
      </c>
      <c r="L23" s="199">
        <f t="shared" si="1"/>
        <v>295.23</v>
      </c>
      <c r="M23" s="199">
        <f t="shared" si="1"/>
        <v>266.66000000000003</v>
      </c>
      <c r="N23" s="199">
        <f t="shared" si="1"/>
        <v>295.23</v>
      </c>
      <c r="O23" s="199">
        <f>O19+O21</f>
        <v>2921.38</v>
      </c>
    </row>
    <row r="24" spans="2:15" ht="15" x14ac:dyDescent="0.2">
      <c r="B24" s="32"/>
      <c r="C24" s="275"/>
      <c r="D24" s="275"/>
      <c r="E24" s="275"/>
      <c r="F24" s="275"/>
      <c r="G24" s="275"/>
      <c r="H24" s="275"/>
      <c r="I24" s="275"/>
      <c r="J24" s="275"/>
      <c r="K24" s="275"/>
      <c r="L24" s="275"/>
      <c r="M24" s="275"/>
      <c r="N24" s="275"/>
      <c r="O24" s="275"/>
    </row>
    <row r="25" spans="2:15" ht="15" x14ac:dyDescent="0.2">
      <c r="B25" s="24" t="s">
        <v>462</v>
      </c>
      <c r="C25" s="72"/>
      <c r="D25" s="72"/>
      <c r="E25" s="72"/>
      <c r="F25" s="72"/>
      <c r="G25" s="72"/>
      <c r="H25" s="72"/>
      <c r="I25" s="35"/>
    </row>
    <row r="26" spans="2:15" ht="15" x14ac:dyDescent="0.2">
      <c r="B26" s="24" t="s">
        <v>8</v>
      </c>
      <c r="C26" s="25"/>
      <c r="D26" s="25"/>
      <c r="O26" s="25" t="s">
        <v>136</v>
      </c>
    </row>
    <row r="27" spans="2:15" ht="15" x14ac:dyDescent="0.2">
      <c r="B27" s="168" t="s">
        <v>358</v>
      </c>
      <c r="C27" s="168" t="s">
        <v>137</v>
      </c>
      <c r="D27" s="168" t="s">
        <v>138</v>
      </c>
      <c r="E27" s="193" t="s">
        <v>139</v>
      </c>
      <c r="F27" s="193" t="s">
        <v>140</v>
      </c>
      <c r="G27" s="193" t="s">
        <v>141</v>
      </c>
      <c r="H27" s="193" t="s">
        <v>142</v>
      </c>
      <c r="I27" s="193" t="s">
        <v>143</v>
      </c>
      <c r="J27" s="193" t="s">
        <v>144</v>
      </c>
      <c r="K27" s="193" t="s">
        <v>145</v>
      </c>
      <c r="L27" s="193" t="s">
        <v>146</v>
      </c>
      <c r="M27" s="193" t="s">
        <v>147</v>
      </c>
      <c r="N27" s="193" t="s">
        <v>148</v>
      </c>
      <c r="O27" s="193" t="s">
        <v>135</v>
      </c>
    </row>
    <row r="28" spans="2:15" ht="15" x14ac:dyDescent="0.2">
      <c r="B28" s="141" t="s">
        <v>453</v>
      </c>
      <c r="C28" s="195">
        <f>285.71*0.7055</f>
        <v>201.56840499999998</v>
      </c>
      <c r="D28" s="195">
        <f>295.23*0.7055</f>
        <v>208.28476500000002</v>
      </c>
      <c r="E28" s="195">
        <f>285.71*0.7055</f>
        <v>201.56840499999998</v>
      </c>
      <c r="F28" s="195">
        <f>197.27*0.7055</f>
        <v>139.17398500000002</v>
      </c>
      <c r="G28" s="195">
        <f>295.23*0.7055</f>
        <v>208.28476500000002</v>
      </c>
      <c r="H28" s="195">
        <f>285.71*0.7055</f>
        <v>201.56840499999998</v>
      </c>
      <c r="I28" s="195">
        <f>295.23*0.7055</f>
        <v>208.28476500000002</v>
      </c>
      <c r="J28" s="195">
        <f>285.71*0.7055</f>
        <v>201.56840499999998</v>
      </c>
      <c r="K28" s="195">
        <f t="shared" ref="K28:L28" si="2">295.23*0.7055</f>
        <v>208.28476500000002</v>
      </c>
      <c r="L28" s="195">
        <f t="shared" si="2"/>
        <v>208.28476500000002</v>
      </c>
      <c r="M28" s="195">
        <f>266.66*0.7055</f>
        <v>188.12863000000002</v>
      </c>
      <c r="N28" s="195">
        <f>295.23*0.7055</f>
        <v>208.28476500000002</v>
      </c>
      <c r="O28" s="195">
        <f>SUM(C28:N28)</f>
        <v>2383.2848250000002</v>
      </c>
    </row>
    <row r="29" spans="2:15" ht="15" x14ac:dyDescent="0.2">
      <c r="B29" s="141"/>
      <c r="C29" s="195"/>
      <c r="D29" s="195"/>
      <c r="E29" s="195"/>
      <c r="F29" s="195"/>
      <c r="G29" s="195"/>
      <c r="H29" s="195"/>
      <c r="I29" s="195"/>
      <c r="J29" s="195"/>
      <c r="K29" s="195"/>
      <c r="L29" s="195"/>
      <c r="M29" s="195"/>
      <c r="N29" s="195"/>
      <c r="O29" s="197"/>
    </row>
    <row r="30" spans="2:15" ht="15" x14ac:dyDescent="0.2">
      <c r="B30" s="141" t="s">
        <v>454</v>
      </c>
      <c r="C30" s="195">
        <f>285.71*0.2945</f>
        <v>84.141594999999995</v>
      </c>
      <c r="D30" s="195">
        <f>295.23*0.2945</f>
        <v>86.945234999999997</v>
      </c>
      <c r="E30" s="195">
        <f>285.71*0.2945</f>
        <v>84.141594999999995</v>
      </c>
      <c r="F30" s="195">
        <f>197.27*0.2945</f>
        <v>58.096015000000001</v>
      </c>
      <c r="G30" s="195">
        <f>295.23*0.2945</f>
        <v>86.945234999999997</v>
      </c>
      <c r="H30" s="195">
        <f>285.71*0.2945</f>
        <v>84.141594999999995</v>
      </c>
      <c r="I30" s="195">
        <f>295.23*0.2945</f>
        <v>86.945234999999997</v>
      </c>
      <c r="J30" s="195">
        <f>285.71*0.2945</f>
        <v>84.141594999999995</v>
      </c>
      <c r="K30" s="195">
        <f t="shared" ref="K30:L30" si="3">295.23*0.2945</f>
        <v>86.945234999999997</v>
      </c>
      <c r="L30" s="195">
        <f t="shared" si="3"/>
        <v>86.945234999999997</v>
      </c>
      <c r="M30" s="195">
        <f>266.66*0.2945</f>
        <v>78.53137000000001</v>
      </c>
      <c r="N30" s="195">
        <f>295.23*0.2945</f>
        <v>86.945234999999997</v>
      </c>
      <c r="O30" s="195">
        <f>SUM(C30:N30)</f>
        <v>994.86517500000014</v>
      </c>
    </row>
    <row r="31" spans="2:15" x14ac:dyDescent="0.2">
      <c r="B31" s="196"/>
      <c r="C31" s="201"/>
      <c r="D31" s="201"/>
      <c r="E31" s="201"/>
      <c r="F31" s="201"/>
      <c r="G31" s="201"/>
      <c r="H31" s="201"/>
      <c r="I31" s="201"/>
      <c r="J31" s="201"/>
      <c r="K31" s="201"/>
      <c r="L31" s="201"/>
      <c r="M31" s="202"/>
      <c r="N31" s="201"/>
      <c r="O31" s="202"/>
    </row>
    <row r="32" spans="2:15" ht="15" x14ac:dyDescent="0.2">
      <c r="B32" s="198" t="s">
        <v>135</v>
      </c>
      <c r="C32" s="199">
        <f>C28+C30</f>
        <v>285.70999999999998</v>
      </c>
      <c r="D32" s="199">
        <f t="shared" ref="D32:N32" si="4">D28+D30</f>
        <v>295.23</v>
      </c>
      <c r="E32" s="199">
        <f t="shared" si="4"/>
        <v>285.70999999999998</v>
      </c>
      <c r="F32" s="199">
        <f t="shared" si="4"/>
        <v>197.27</v>
      </c>
      <c r="G32" s="199">
        <f t="shared" si="4"/>
        <v>295.23</v>
      </c>
      <c r="H32" s="199">
        <f t="shared" si="4"/>
        <v>285.70999999999998</v>
      </c>
      <c r="I32" s="199">
        <f t="shared" si="4"/>
        <v>295.23</v>
      </c>
      <c r="J32" s="199">
        <f t="shared" si="4"/>
        <v>285.70999999999998</v>
      </c>
      <c r="K32" s="199">
        <f t="shared" si="4"/>
        <v>295.23</v>
      </c>
      <c r="L32" s="199">
        <f t="shared" si="4"/>
        <v>295.23</v>
      </c>
      <c r="M32" s="199">
        <f t="shared" si="4"/>
        <v>266.66000000000003</v>
      </c>
      <c r="N32" s="199">
        <f t="shared" si="4"/>
        <v>295.23</v>
      </c>
      <c r="O32" s="199">
        <f>O28+O30</f>
        <v>3378.1500000000005</v>
      </c>
    </row>
  </sheetData>
  <mergeCells count="4">
    <mergeCell ref="C17:H17"/>
    <mergeCell ref="B7:B8"/>
    <mergeCell ref="C7:N7"/>
    <mergeCell ref="I17:O17"/>
  </mergeCells>
  <pageMargins left="0.13" right="0.33" top="1" bottom="0.37" header="0.5" footer="0.5"/>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0"/>
  <sheetViews>
    <sheetView showGridLines="0" view="pageBreakPreview" zoomScale="105" zoomScaleNormal="93" zoomScaleSheetLayoutView="105" workbookViewId="0">
      <selection activeCell="Q12" sqref="Q12"/>
    </sheetView>
  </sheetViews>
  <sheetFormatPr defaultRowHeight="12.75" x14ac:dyDescent="0.2"/>
  <cols>
    <col min="1" max="1" width="7.140625" customWidth="1"/>
    <col min="2" max="2" width="29.140625" customWidth="1"/>
    <col min="3" max="3" width="9.5703125" customWidth="1"/>
    <col min="16" max="16" width="10" customWidth="1"/>
  </cols>
  <sheetData>
    <row r="1" spans="1:16" ht="15" customHeight="1" x14ac:dyDescent="0.2">
      <c r="A1" s="241"/>
      <c r="B1" s="241"/>
      <c r="C1" s="241"/>
      <c r="D1" s="241"/>
      <c r="E1" s="241"/>
      <c r="F1" s="241"/>
      <c r="G1" s="241"/>
      <c r="H1" s="242" t="s">
        <v>499</v>
      </c>
      <c r="I1" s="241"/>
      <c r="J1" s="241"/>
      <c r="K1" s="241"/>
      <c r="L1" s="241"/>
      <c r="M1" s="241"/>
      <c r="N1" s="241"/>
      <c r="O1" s="241"/>
      <c r="P1" s="241"/>
    </row>
    <row r="2" spans="1:16" ht="15" customHeight="1" x14ac:dyDescent="0.2">
      <c r="A2" s="241"/>
      <c r="B2" s="241"/>
      <c r="C2" s="241"/>
      <c r="D2" s="241"/>
      <c r="E2" s="241"/>
      <c r="F2" s="241"/>
      <c r="G2" s="241"/>
      <c r="H2" s="242" t="s">
        <v>500</v>
      </c>
      <c r="I2" s="241"/>
      <c r="J2" s="241"/>
      <c r="K2" s="241"/>
      <c r="L2" s="241"/>
      <c r="M2" s="241"/>
      <c r="N2" s="241"/>
      <c r="O2" s="241"/>
      <c r="P2" s="241"/>
    </row>
    <row r="3" spans="1:16" ht="15" customHeight="1" x14ac:dyDescent="0.2">
      <c r="A3" s="243" t="s">
        <v>501</v>
      </c>
      <c r="B3" s="244"/>
      <c r="C3" s="244"/>
      <c r="D3" s="244"/>
      <c r="E3" s="244"/>
      <c r="F3" s="244"/>
      <c r="G3" s="244"/>
      <c r="H3" s="245" t="s">
        <v>361</v>
      </c>
      <c r="I3" s="244"/>
      <c r="J3" s="244"/>
      <c r="K3" s="244"/>
      <c r="L3" s="244"/>
      <c r="M3" s="244"/>
      <c r="N3" s="244"/>
      <c r="O3" s="244"/>
      <c r="P3" s="244"/>
    </row>
    <row r="4" spans="1:16" ht="15.75" x14ac:dyDescent="0.2">
      <c r="A4" s="246" t="s">
        <v>12</v>
      </c>
      <c r="B4" s="244"/>
      <c r="C4" s="244"/>
      <c r="D4" s="244"/>
      <c r="E4" s="244"/>
      <c r="F4" s="244"/>
      <c r="G4" s="244"/>
      <c r="H4" s="244"/>
      <c r="I4" s="244"/>
      <c r="J4" s="244"/>
      <c r="K4" s="244"/>
      <c r="L4" s="244"/>
      <c r="M4" s="244"/>
      <c r="N4" s="244"/>
      <c r="O4" s="244"/>
      <c r="P4" s="244"/>
    </row>
    <row r="5" spans="1:16" ht="15.75" x14ac:dyDescent="0.2">
      <c r="A5" s="247" t="s">
        <v>188</v>
      </c>
      <c r="B5" s="247" t="s">
        <v>14</v>
      </c>
      <c r="C5" s="247" t="s">
        <v>35</v>
      </c>
      <c r="D5" s="248" t="s">
        <v>137</v>
      </c>
      <c r="E5" s="248" t="s">
        <v>138</v>
      </c>
      <c r="F5" s="249" t="s">
        <v>139</v>
      </c>
      <c r="G5" s="249" t="s">
        <v>140</v>
      </c>
      <c r="H5" s="249" t="s">
        <v>141</v>
      </c>
      <c r="I5" s="249" t="s">
        <v>142</v>
      </c>
      <c r="J5" s="249" t="s">
        <v>143</v>
      </c>
      <c r="K5" s="249" t="s">
        <v>144</v>
      </c>
      <c r="L5" s="249" t="s">
        <v>145</v>
      </c>
      <c r="M5" s="249" t="s">
        <v>146</v>
      </c>
      <c r="N5" s="249" t="s">
        <v>147</v>
      </c>
      <c r="O5" s="249" t="s">
        <v>148</v>
      </c>
      <c r="P5" s="250" t="s">
        <v>135</v>
      </c>
    </row>
    <row r="6" spans="1:16" ht="15.75" x14ac:dyDescent="0.2">
      <c r="A6" s="251">
        <v>1</v>
      </c>
      <c r="B6" s="252" t="s">
        <v>167</v>
      </c>
      <c r="C6" s="251" t="s">
        <v>38</v>
      </c>
      <c r="D6" s="256">
        <v>85</v>
      </c>
      <c r="E6" s="256">
        <v>85</v>
      </c>
      <c r="F6" s="256">
        <v>85</v>
      </c>
      <c r="G6" s="256">
        <v>85</v>
      </c>
      <c r="H6" s="256">
        <v>85</v>
      </c>
      <c r="I6" s="256">
        <v>85</v>
      </c>
      <c r="J6" s="256">
        <v>85</v>
      </c>
      <c r="K6" s="256">
        <v>85</v>
      </c>
      <c r="L6" s="256">
        <v>85</v>
      </c>
      <c r="M6" s="256">
        <v>85</v>
      </c>
      <c r="N6" s="256">
        <v>85</v>
      </c>
      <c r="O6" s="256">
        <v>85</v>
      </c>
      <c r="P6" s="259">
        <v>85</v>
      </c>
    </row>
    <row r="7" spans="1:16" ht="15.75" x14ac:dyDescent="0.2">
      <c r="A7" s="251">
        <f t="shared" ref="A7:A24" si="0">A6+1</f>
        <v>2</v>
      </c>
      <c r="B7" s="252" t="s">
        <v>502</v>
      </c>
      <c r="C7" s="251" t="s">
        <v>38</v>
      </c>
      <c r="D7" s="256">
        <v>87.74</v>
      </c>
      <c r="E7" s="256">
        <v>84.59</v>
      </c>
      <c r="F7" s="256">
        <v>59.05</v>
      </c>
      <c r="G7" s="256">
        <v>45.21</v>
      </c>
      <c r="H7" s="256">
        <v>47.85</v>
      </c>
      <c r="I7" s="256">
        <v>90.74</v>
      </c>
      <c r="J7" s="256">
        <v>92.84</v>
      </c>
      <c r="K7" s="256">
        <v>93.82</v>
      </c>
      <c r="L7" s="256">
        <v>97.01</v>
      </c>
      <c r="M7" s="256">
        <v>89.07</v>
      </c>
      <c r="N7" s="256">
        <v>94.89</v>
      </c>
      <c r="O7" s="256">
        <v>94.5</v>
      </c>
      <c r="P7" s="259">
        <v>81.150000000000006</v>
      </c>
    </row>
    <row r="8" spans="1:16" ht="15.75" x14ac:dyDescent="0.2">
      <c r="A8" s="251">
        <f t="shared" si="0"/>
        <v>3</v>
      </c>
      <c r="B8" s="252" t="s">
        <v>189</v>
      </c>
      <c r="C8" s="251" t="s">
        <v>38</v>
      </c>
      <c r="D8" s="256">
        <v>87.45</v>
      </c>
      <c r="E8" s="256">
        <v>85.86</v>
      </c>
      <c r="F8" s="256">
        <v>76.959999999999994</v>
      </c>
      <c r="G8" s="256">
        <v>68.849999999999994</v>
      </c>
      <c r="H8" s="256">
        <v>64.569999999999993</v>
      </c>
      <c r="I8" s="256">
        <v>68.81</v>
      </c>
      <c r="J8" s="256">
        <v>72.48</v>
      </c>
      <c r="K8" s="256">
        <v>75.11</v>
      </c>
      <c r="L8" s="256">
        <v>77.58</v>
      </c>
      <c r="M8" s="256">
        <v>78.739999999999995</v>
      </c>
      <c r="N8" s="256">
        <v>80.09</v>
      </c>
      <c r="O8" s="256">
        <v>81.319999999999993</v>
      </c>
      <c r="P8" s="259"/>
    </row>
    <row r="9" spans="1:16" ht="15.75" x14ac:dyDescent="0.2">
      <c r="A9" s="251">
        <f t="shared" si="0"/>
        <v>4</v>
      </c>
      <c r="B9" s="252" t="s">
        <v>39</v>
      </c>
      <c r="C9" s="251" t="s">
        <v>38</v>
      </c>
      <c r="D9" s="256">
        <v>85</v>
      </c>
      <c r="E9" s="256">
        <v>85</v>
      </c>
      <c r="F9" s="256">
        <v>85</v>
      </c>
      <c r="G9" s="256">
        <v>85</v>
      </c>
      <c r="H9" s="256">
        <v>85</v>
      </c>
      <c r="I9" s="256">
        <v>85</v>
      </c>
      <c r="J9" s="256">
        <v>85</v>
      </c>
      <c r="K9" s="256">
        <v>85</v>
      </c>
      <c r="L9" s="256">
        <v>85</v>
      </c>
      <c r="M9" s="256">
        <v>85</v>
      </c>
      <c r="N9" s="256">
        <v>85</v>
      </c>
      <c r="O9" s="256">
        <v>85</v>
      </c>
      <c r="P9" s="259">
        <v>85</v>
      </c>
    </row>
    <row r="10" spans="1:16" ht="15.75" x14ac:dyDescent="0.2">
      <c r="A10" s="251">
        <f t="shared" si="0"/>
        <v>5</v>
      </c>
      <c r="B10" s="252" t="s">
        <v>503</v>
      </c>
      <c r="C10" s="251" t="s">
        <v>38</v>
      </c>
      <c r="D10" s="256">
        <v>76.969444444444449</v>
      </c>
      <c r="E10" s="256">
        <v>75.020430107526892</v>
      </c>
      <c r="F10" s="256">
        <v>54.018333333333331</v>
      </c>
      <c r="G10" s="256">
        <v>38.491935483870968</v>
      </c>
      <c r="H10" s="256">
        <v>43.716666666666661</v>
      </c>
      <c r="I10" s="256">
        <v>44.193333333333335</v>
      </c>
      <c r="J10" s="256">
        <v>72.453763440860229</v>
      </c>
      <c r="K10" s="256">
        <v>69.728888888888889</v>
      </c>
      <c r="L10" s="256">
        <v>77.006989247311836</v>
      </c>
      <c r="M10" s="256">
        <v>74.33897849462366</v>
      </c>
      <c r="N10" s="256">
        <v>81.652380952380938</v>
      </c>
      <c r="O10" s="256">
        <v>83.927419354838705</v>
      </c>
      <c r="P10" s="259"/>
    </row>
    <row r="11" spans="1:16" ht="15.75" x14ac:dyDescent="0.2">
      <c r="A11" s="251">
        <f t="shared" si="0"/>
        <v>6</v>
      </c>
      <c r="B11" s="252" t="s">
        <v>190</v>
      </c>
      <c r="C11" s="251" t="s">
        <v>38</v>
      </c>
      <c r="D11" s="256">
        <v>76.969444444444449</v>
      </c>
      <c r="E11" s="256">
        <v>75.978961748633893</v>
      </c>
      <c r="F11" s="256">
        <v>68.739194139194154</v>
      </c>
      <c r="G11" s="256">
        <v>61.053415300546462</v>
      </c>
      <c r="H11" s="256">
        <v>57.540740740740738</v>
      </c>
      <c r="I11" s="256">
        <v>55.352641165755927</v>
      </c>
      <c r="J11" s="256">
        <v>57.829906542056072</v>
      </c>
      <c r="K11" s="256">
        <v>59.292896174863387</v>
      </c>
      <c r="L11" s="256">
        <v>61.289757575757569</v>
      </c>
      <c r="M11" s="256">
        <v>62.61173747276689</v>
      </c>
      <c r="N11" s="256">
        <v>64.207959081836322</v>
      </c>
      <c r="O11" s="256">
        <v>65.882762557077626</v>
      </c>
      <c r="P11" s="259"/>
    </row>
    <row r="12" spans="1:16" ht="15.75" x14ac:dyDescent="0.2">
      <c r="A12" s="251">
        <f t="shared" si="0"/>
        <v>7</v>
      </c>
      <c r="B12" s="253" t="s">
        <v>191</v>
      </c>
      <c r="C12" s="254" t="s">
        <v>41</v>
      </c>
      <c r="D12" s="256">
        <v>277.08999999999997</v>
      </c>
      <c r="E12" s="256">
        <v>279.08</v>
      </c>
      <c r="F12" s="256">
        <v>194.47</v>
      </c>
      <c r="G12" s="256">
        <v>143.19</v>
      </c>
      <c r="H12" s="256">
        <v>162.63</v>
      </c>
      <c r="I12" s="256">
        <v>159.1</v>
      </c>
      <c r="J12" s="256">
        <v>269.52999999999997</v>
      </c>
      <c r="K12" s="256">
        <v>251.02</v>
      </c>
      <c r="L12" s="256">
        <v>286.47000000000003</v>
      </c>
      <c r="M12" s="256">
        <v>276.54000000000002</v>
      </c>
      <c r="N12" s="256">
        <v>274.35000000000002</v>
      </c>
      <c r="O12" s="256">
        <v>312.20999999999998</v>
      </c>
      <c r="P12" s="259">
        <f>SUM(D12:O12)</f>
        <v>2885.68</v>
      </c>
    </row>
    <row r="13" spans="1:16" ht="15.75" x14ac:dyDescent="0.2">
      <c r="A13" s="251">
        <f t="shared" si="0"/>
        <v>8</v>
      </c>
      <c r="B13" s="253" t="s">
        <v>192</v>
      </c>
      <c r="C13" s="254" t="s">
        <v>41</v>
      </c>
      <c r="D13" s="256">
        <v>30.74</v>
      </c>
      <c r="E13" s="256">
        <v>31.61</v>
      </c>
      <c r="F13" s="256">
        <v>23.46</v>
      </c>
      <c r="G13" s="256">
        <v>17</v>
      </c>
      <c r="H13" s="256">
        <v>20.059999999999999</v>
      </c>
      <c r="I13" s="256">
        <v>19.329999999999998</v>
      </c>
      <c r="J13" s="256">
        <v>29.03</v>
      </c>
      <c r="K13" s="256">
        <v>27.13</v>
      </c>
      <c r="L13" s="256">
        <v>29.68</v>
      </c>
      <c r="M13" s="256">
        <v>29.07</v>
      </c>
      <c r="N13" s="256">
        <v>27.77</v>
      </c>
      <c r="O13" s="256">
        <v>31.85</v>
      </c>
      <c r="P13" s="259">
        <f t="shared" ref="P13:P15" si="1">SUM(D13:O13)</f>
        <v>316.73</v>
      </c>
    </row>
    <row r="14" spans="1:16" ht="15.75" x14ac:dyDescent="0.2">
      <c r="A14" s="251">
        <f t="shared" si="0"/>
        <v>9</v>
      </c>
      <c r="B14" s="253" t="s">
        <v>208</v>
      </c>
      <c r="C14" s="254" t="s">
        <v>41</v>
      </c>
      <c r="D14" s="256">
        <v>246.34999999999997</v>
      </c>
      <c r="E14" s="256">
        <v>247.46999999999997</v>
      </c>
      <c r="F14" s="256">
        <v>171.01</v>
      </c>
      <c r="G14" s="256">
        <v>126.19</v>
      </c>
      <c r="H14" s="256">
        <v>142.57</v>
      </c>
      <c r="I14" s="256">
        <v>139.76999999999998</v>
      </c>
      <c r="J14" s="256">
        <v>240.49999999999997</v>
      </c>
      <c r="K14" s="256">
        <v>223.89000000000001</v>
      </c>
      <c r="L14" s="256">
        <v>256.79000000000002</v>
      </c>
      <c r="M14" s="256">
        <v>247.47000000000003</v>
      </c>
      <c r="N14" s="256">
        <v>246.58</v>
      </c>
      <c r="O14" s="256">
        <v>280.35999999999996</v>
      </c>
      <c r="P14" s="259">
        <f t="shared" si="1"/>
        <v>2568.9500000000003</v>
      </c>
    </row>
    <row r="15" spans="1:16" ht="31.5" x14ac:dyDescent="0.2">
      <c r="A15" s="251">
        <f t="shared" si="0"/>
        <v>10</v>
      </c>
      <c r="B15" s="253" t="s">
        <v>209</v>
      </c>
      <c r="C15" s="254" t="s">
        <v>41</v>
      </c>
      <c r="D15" s="256">
        <v>0</v>
      </c>
      <c r="E15" s="256">
        <v>0</v>
      </c>
      <c r="F15" s="256">
        <v>0</v>
      </c>
      <c r="G15" s="256">
        <v>0</v>
      </c>
      <c r="H15" s="256">
        <v>0</v>
      </c>
      <c r="I15" s="256">
        <v>0</v>
      </c>
      <c r="J15" s="256">
        <v>0</v>
      </c>
      <c r="K15" s="256">
        <v>0</v>
      </c>
      <c r="L15" s="256">
        <v>0</v>
      </c>
      <c r="M15" s="256">
        <v>0</v>
      </c>
      <c r="N15" s="256">
        <v>0</v>
      </c>
      <c r="O15" s="256">
        <v>0</v>
      </c>
      <c r="P15" s="259">
        <f t="shared" si="1"/>
        <v>0</v>
      </c>
    </row>
    <row r="16" spans="1:16" ht="15.75" x14ac:dyDescent="0.2">
      <c r="A16" s="251">
        <f t="shared" si="0"/>
        <v>11</v>
      </c>
      <c r="B16" s="253" t="s">
        <v>193</v>
      </c>
      <c r="C16" s="254" t="s">
        <v>197</v>
      </c>
      <c r="D16" s="255">
        <v>4.1900000000000004</v>
      </c>
      <c r="E16" s="255">
        <v>4.1900000000000004</v>
      </c>
      <c r="F16" s="255">
        <v>4.1900000000000004</v>
      </c>
      <c r="G16" s="255">
        <v>4.1900000000000004</v>
      </c>
      <c r="H16" s="255">
        <v>4.1900000000000004</v>
      </c>
      <c r="I16" s="255">
        <v>4.1900000000000004</v>
      </c>
      <c r="J16" s="255">
        <v>4.1900000000000004</v>
      </c>
      <c r="K16" s="255">
        <v>4.1900000000000004</v>
      </c>
      <c r="L16" s="255">
        <v>4.1900000000000004</v>
      </c>
      <c r="M16" s="255">
        <v>4.1900000000000004</v>
      </c>
      <c r="N16" s="255">
        <v>4.1900000000000004</v>
      </c>
      <c r="O16" s="255">
        <v>4.1900000000000004</v>
      </c>
      <c r="P16" s="273"/>
    </row>
    <row r="17" spans="1:17" ht="15.75" x14ac:dyDescent="0.2">
      <c r="A17" s="251">
        <f t="shared" si="0"/>
        <v>12</v>
      </c>
      <c r="B17" s="253" t="s">
        <v>210</v>
      </c>
      <c r="C17" s="254" t="s">
        <v>198</v>
      </c>
      <c r="D17" s="256">
        <v>27.665000000000003</v>
      </c>
      <c r="E17" s="256">
        <v>27.665000000000003</v>
      </c>
      <c r="F17" s="256">
        <v>27.665000000000003</v>
      </c>
      <c r="G17" s="256">
        <v>27.665000000000003</v>
      </c>
      <c r="H17" s="256">
        <v>27.665000000000003</v>
      </c>
      <c r="I17" s="256">
        <v>27.665000000000003</v>
      </c>
      <c r="J17" s="256">
        <v>27.665000000000003</v>
      </c>
      <c r="K17" s="256">
        <v>27.665000000000003</v>
      </c>
      <c r="L17" s="256">
        <v>27.665000000000003</v>
      </c>
      <c r="M17" s="256">
        <v>27.665000000000003</v>
      </c>
      <c r="N17" s="256">
        <v>27.665000000000003</v>
      </c>
      <c r="O17" s="256">
        <v>27.665000000000003</v>
      </c>
      <c r="P17" s="259">
        <f>SUM(D17:O17)</f>
        <v>331.98</v>
      </c>
    </row>
    <row r="18" spans="1:17" ht="15.75" x14ac:dyDescent="0.2">
      <c r="A18" s="251">
        <f t="shared" si="0"/>
        <v>13</v>
      </c>
      <c r="B18" s="253" t="s">
        <v>359</v>
      </c>
      <c r="C18" s="254" t="s">
        <v>197</v>
      </c>
      <c r="D18" s="255">
        <v>4.2539999999999996</v>
      </c>
      <c r="E18" s="255">
        <v>4.2729999999999997</v>
      </c>
      <c r="F18" s="255">
        <v>4.3369999999999997</v>
      </c>
      <c r="G18" s="255">
        <v>4.431</v>
      </c>
      <c r="H18" s="255">
        <v>4.4459999999999997</v>
      </c>
      <c r="I18" s="255">
        <v>4.5259999999999998</v>
      </c>
      <c r="J18" s="255">
        <v>4.4809999999999999</v>
      </c>
      <c r="K18" s="255">
        <v>4.3419999999999996</v>
      </c>
      <c r="L18" s="255">
        <v>4.2350000000000003</v>
      </c>
      <c r="M18" s="255">
        <v>4.2649999999999997</v>
      </c>
      <c r="N18" s="255">
        <v>4.125</v>
      </c>
      <c r="O18" s="255">
        <v>4.08</v>
      </c>
      <c r="P18" s="274"/>
    </row>
    <row r="19" spans="1:17" ht="15.75" x14ac:dyDescent="0.2">
      <c r="A19" s="251">
        <f t="shared" si="0"/>
        <v>14</v>
      </c>
      <c r="B19" s="253" t="s">
        <v>194</v>
      </c>
      <c r="C19" s="254" t="s">
        <v>198</v>
      </c>
      <c r="D19" s="256">
        <v>27.664999999999999</v>
      </c>
      <c r="E19" s="256">
        <v>27.664999999999999</v>
      </c>
      <c r="F19" s="256">
        <v>19.814649411764695</v>
      </c>
      <c r="G19" s="256">
        <v>14.489950588235297</v>
      </c>
      <c r="H19" s="256">
        <v>15.443579411764702</v>
      </c>
      <c r="I19" s="256">
        <v>29.295607647058844</v>
      </c>
      <c r="J19" s="256">
        <v>30.756970588235319</v>
      </c>
      <c r="K19" s="256">
        <v>30.438009412</v>
      </c>
      <c r="L19" s="256">
        <v>31.681307058999998</v>
      </c>
      <c r="M19" s="256">
        <v>29.025467058999997</v>
      </c>
      <c r="N19" s="256">
        <v>30.460792352999999</v>
      </c>
      <c r="O19" s="256">
        <v>30.206925294000001</v>
      </c>
      <c r="P19" s="259">
        <f>SUM(D19:O19)</f>
        <v>316.94325882405883</v>
      </c>
    </row>
    <row r="20" spans="1:17" ht="15.75" x14ac:dyDescent="0.2">
      <c r="A20" s="251">
        <f t="shared" si="0"/>
        <v>15</v>
      </c>
      <c r="B20" s="253" t="s">
        <v>360</v>
      </c>
      <c r="C20" s="254" t="s">
        <v>198</v>
      </c>
      <c r="D20" s="256">
        <v>65.727140500000004</v>
      </c>
      <c r="E20" s="256">
        <v>66.023928799999993</v>
      </c>
      <c r="F20" s="256">
        <v>45.6247343</v>
      </c>
      <c r="G20" s="256">
        <v>33.666558199999997</v>
      </c>
      <c r="H20" s="256">
        <v>38.035314800000002</v>
      </c>
      <c r="I20" s="256">
        <v>37.289408700000003</v>
      </c>
      <c r="J20" s="256">
        <v>64.166173700000002</v>
      </c>
      <c r="K20" s="256">
        <v>93.810370899999995</v>
      </c>
      <c r="L20" s="256">
        <v>107.59519855000002</v>
      </c>
      <c r="M20" s="256">
        <v>103.69204594999999</v>
      </c>
      <c r="N20" s="256">
        <v>103.31982730000004</v>
      </c>
      <c r="O20" s="256">
        <v>117.4727255</v>
      </c>
      <c r="P20" s="259">
        <f>SUM(D20:O20)</f>
        <v>876.42342720000011</v>
      </c>
    </row>
    <row r="21" spans="1:17" ht="31.5" x14ac:dyDescent="0.2">
      <c r="A21" s="251">
        <f t="shared" si="0"/>
        <v>16</v>
      </c>
      <c r="B21" s="253" t="s">
        <v>211</v>
      </c>
      <c r="C21" s="254" t="s">
        <v>198</v>
      </c>
      <c r="D21" s="256">
        <v>39.065304564647676</v>
      </c>
      <c r="E21" s="256">
        <v>39.719876090999996</v>
      </c>
      <c r="F21" s="256">
        <v>28.534279303876971</v>
      </c>
      <c r="G21" s="256">
        <v>22.252339317462123</v>
      </c>
      <c r="H21" s="256">
        <v>25.353866549164319</v>
      </c>
      <c r="I21" s="256">
        <v>25.96880576610242</v>
      </c>
      <c r="J21" s="256">
        <v>43.605576942610405</v>
      </c>
      <c r="K21" s="256">
        <v>3.4130889925645711</v>
      </c>
      <c r="L21" s="256">
        <v>1.165932369672823</v>
      </c>
      <c r="M21" s="256">
        <v>1.8683907213858486</v>
      </c>
      <c r="N21" s="256">
        <v>-1.6098072640363097</v>
      </c>
      <c r="O21" s="256">
        <v>-3.0965554713541508</v>
      </c>
      <c r="P21" s="259">
        <f>SUM(D21:O21)</f>
        <v>226.24109788309673</v>
      </c>
    </row>
    <row r="22" spans="1:17" ht="15.75" x14ac:dyDescent="0.2">
      <c r="A22" s="251">
        <f t="shared" si="0"/>
        <v>17</v>
      </c>
      <c r="B22" s="253" t="s">
        <v>195</v>
      </c>
      <c r="C22" s="254" t="s">
        <v>198</v>
      </c>
      <c r="D22" s="256">
        <v>0</v>
      </c>
      <c r="E22" s="256">
        <v>0</v>
      </c>
      <c r="F22" s="256">
        <v>0</v>
      </c>
      <c r="G22" s="256">
        <v>0</v>
      </c>
      <c r="H22" s="256">
        <v>0</v>
      </c>
      <c r="I22" s="256">
        <v>0</v>
      </c>
      <c r="J22" s="256">
        <v>0</v>
      </c>
      <c r="K22" s="256">
        <v>0</v>
      </c>
      <c r="L22" s="256">
        <v>0</v>
      </c>
      <c r="M22" s="256">
        <v>0</v>
      </c>
      <c r="N22" s="256">
        <v>0</v>
      </c>
      <c r="O22" s="256">
        <v>0</v>
      </c>
      <c r="P22" s="259">
        <f>SUM(D22:O22)</f>
        <v>0</v>
      </c>
    </row>
    <row r="23" spans="1:17" ht="31.5" x14ac:dyDescent="0.2">
      <c r="A23" s="251">
        <f t="shared" si="0"/>
        <v>18</v>
      </c>
      <c r="B23" s="258" t="s">
        <v>151</v>
      </c>
      <c r="C23" s="254" t="s">
        <v>198</v>
      </c>
      <c r="D23" s="259">
        <v>132.45744506464769</v>
      </c>
      <c r="E23" s="259">
        <v>133.40880489099999</v>
      </c>
      <c r="F23" s="259">
        <v>93.973663015641662</v>
      </c>
      <c r="G23" s="259">
        <v>70.408848105697416</v>
      </c>
      <c r="H23" s="259">
        <v>78.83276076092902</v>
      </c>
      <c r="I23" s="259">
        <v>92.553822113161274</v>
      </c>
      <c r="J23" s="259">
        <v>138.52872123084572</v>
      </c>
      <c r="K23" s="259">
        <v>127.66146930456456</v>
      </c>
      <c r="L23" s="259">
        <v>140.44243797867284</v>
      </c>
      <c r="M23" s="259">
        <v>134.58590373038584</v>
      </c>
      <c r="N23" s="259">
        <v>132.17081238896372</v>
      </c>
      <c r="O23" s="259">
        <v>144.58309532264585</v>
      </c>
      <c r="P23" s="259">
        <f>SUM(D23:O23)</f>
        <v>1419.6077839071556</v>
      </c>
    </row>
    <row r="24" spans="1:17" ht="31.5" x14ac:dyDescent="0.2">
      <c r="A24" s="251">
        <f t="shared" si="0"/>
        <v>19</v>
      </c>
      <c r="B24" s="260" t="s">
        <v>196</v>
      </c>
      <c r="C24" s="254"/>
      <c r="D24" s="256"/>
      <c r="E24" s="256"/>
      <c r="F24" s="256"/>
      <c r="G24" s="256"/>
      <c r="H24" s="256"/>
      <c r="I24" s="256"/>
      <c r="J24" s="256"/>
      <c r="K24" s="256"/>
      <c r="L24" s="256"/>
      <c r="M24" s="256"/>
      <c r="N24" s="256"/>
      <c r="O24" s="256"/>
      <c r="P24" s="259"/>
    </row>
    <row r="25" spans="1:17" ht="31.5" x14ac:dyDescent="0.2">
      <c r="A25" s="251" t="s">
        <v>450</v>
      </c>
      <c r="B25" s="253" t="s">
        <v>451</v>
      </c>
      <c r="C25" s="254" t="s">
        <v>198</v>
      </c>
      <c r="D25" s="256"/>
      <c r="E25" s="256"/>
      <c r="F25" s="256"/>
      <c r="G25" s="256"/>
      <c r="H25" s="256"/>
      <c r="I25" s="256"/>
      <c r="J25" s="256"/>
      <c r="K25" s="256"/>
      <c r="L25" s="256"/>
      <c r="M25" s="256"/>
      <c r="N25" s="256"/>
      <c r="O25" s="256"/>
      <c r="P25" s="259">
        <v>-40.33</v>
      </c>
    </row>
    <row r="26" spans="1:17" ht="15.75" x14ac:dyDescent="0.2">
      <c r="A26" s="251" t="s">
        <v>450</v>
      </c>
      <c r="B26" s="253" t="s">
        <v>504</v>
      </c>
      <c r="C26" s="254" t="s">
        <v>198</v>
      </c>
      <c r="D26" s="256"/>
      <c r="E26" s="256"/>
      <c r="F26" s="256"/>
      <c r="G26" s="256"/>
      <c r="H26" s="256"/>
      <c r="I26" s="256"/>
      <c r="J26" s="256"/>
      <c r="K26" s="256"/>
      <c r="L26" s="256"/>
      <c r="M26" s="256"/>
      <c r="N26" s="256"/>
      <c r="O26" s="256"/>
      <c r="P26" s="259">
        <v>2.67</v>
      </c>
    </row>
    <row r="27" spans="1:17" ht="15.75" x14ac:dyDescent="0.2">
      <c r="A27" s="251" t="s">
        <v>450</v>
      </c>
      <c r="B27" s="253" t="s">
        <v>101</v>
      </c>
      <c r="C27" s="254" t="s">
        <v>198</v>
      </c>
      <c r="D27" s="256"/>
      <c r="E27" s="256"/>
      <c r="F27" s="256"/>
      <c r="G27" s="256"/>
      <c r="H27" s="256"/>
      <c r="I27" s="256"/>
      <c r="J27" s="256"/>
      <c r="K27" s="256"/>
      <c r="L27" s="256"/>
      <c r="M27" s="256"/>
      <c r="N27" s="256"/>
      <c r="O27" s="256"/>
      <c r="P27" s="259">
        <v>1.31</v>
      </c>
    </row>
    <row r="28" spans="1:17" ht="63" x14ac:dyDescent="0.2">
      <c r="A28" s="251" t="s">
        <v>450</v>
      </c>
      <c r="B28" s="253" t="s">
        <v>452</v>
      </c>
      <c r="C28" s="254" t="s">
        <v>198</v>
      </c>
      <c r="D28" s="256"/>
      <c r="E28" s="256"/>
      <c r="F28" s="256"/>
      <c r="G28" s="256"/>
      <c r="H28" s="256"/>
      <c r="I28" s="256"/>
      <c r="J28" s="256"/>
      <c r="K28" s="256"/>
      <c r="L28" s="256"/>
      <c r="M28" s="256"/>
      <c r="N28" s="256"/>
      <c r="O28" s="256"/>
      <c r="P28" s="259"/>
      <c r="Q28" s="257"/>
    </row>
    <row r="29" spans="1:17" ht="15.75" x14ac:dyDescent="0.2">
      <c r="A29" s="254">
        <f>A24+1</f>
        <v>20</v>
      </c>
      <c r="B29" s="261" t="s">
        <v>165</v>
      </c>
      <c r="C29" s="254" t="s">
        <v>198</v>
      </c>
      <c r="D29" s="259">
        <v>132.45744506464769</v>
      </c>
      <c r="E29" s="259">
        <v>133.40880489099999</v>
      </c>
      <c r="F29" s="259">
        <v>93.973663015641662</v>
      </c>
      <c r="G29" s="259">
        <v>70.408848105697416</v>
      </c>
      <c r="H29" s="259">
        <v>78.83276076092902</v>
      </c>
      <c r="I29" s="259">
        <v>92.553822113161274</v>
      </c>
      <c r="J29" s="259">
        <v>138.52872123084572</v>
      </c>
      <c r="K29" s="259">
        <v>127.66146930456456</v>
      </c>
      <c r="L29" s="259">
        <v>140.44243797867284</v>
      </c>
      <c r="M29" s="259">
        <v>134.58590373038584</v>
      </c>
      <c r="N29" s="259">
        <v>132.17081238896372</v>
      </c>
      <c r="O29" s="259">
        <v>144.58309532264585</v>
      </c>
      <c r="P29" s="259">
        <f>P23+P25+P26+P27</f>
        <v>1383.2577839071557</v>
      </c>
    </row>
    <row r="30" spans="1:17" ht="31.5" x14ac:dyDescent="0.2">
      <c r="A30" s="254">
        <f>A29+1</f>
        <v>21</v>
      </c>
      <c r="B30" s="260" t="s">
        <v>199</v>
      </c>
      <c r="C30" s="254" t="s">
        <v>198</v>
      </c>
      <c r="D30" s="256"/>
      <c r="E30" s="256"/>
      <c r="F30" s="256"/>
      <c r="G30" s="256"/>
      <c r="H30" s="256"/>
      <c r="I30" s="256"/>
      <c r="J30" s="256"/>
      <c r="K30" s="256"/>
      <c r="L30" s="256"/>
      <c r="M30" s="256"/>
      <c r="N30" s="256"/>
      <c r="O30" s="256"/>
      <c r="P30" s="259"/>
    </row>
    <row r="55" spans="4:16" x14ac:dyDescent="0.2">
      <c r="D55" s="257"/>
      <c r="E55" s="257"/>
      <c r="F55" s="257"/>
      <c r="G55" s="257"/>
      <c r="H55" s="257"/>
      <c r="I55" s="257"/>
      <c r="J55" s="257"/>
      <c r="K55" s="257"/>
      <c r="L55" s="257"/>
      <c r="M55" s="257"/>
      <c r="N55" s="257"/>
      <c r="O55" s="257"/>
      <c r="P55" s="257"/>
    </row>
    <row r="56" spans="4:16" x14ac:dyDescent="0.2">
      <c r="D56" s="257"/>
      <c r="E56" s="257"/>
      <c r="F56" s="257"/>
      <c r="G56" s="257"/>
      <c r="H56" s="257"/>
      <c r="I56" s="257"/>
      <c r="J56" s="257"/>
      <c r="K56" s="257"/>
      <c r="L56" s="257"/>
      <c r="M56" s="257"/>
      <c r="N56" s="257"/>
      <c r="O56" s="257"/>
      <c r="P56" s="257"/>
    </row>
    <row r="57" spans="4:16" x14ac:dyDescent="0.2">
      <c r="D57" s="257"/>
      <c r="E57" s="257"/>
      <c r="F57" s="257"/>
      <c r="G57" s="257"/>
      <c r="H57" s="257"/>
      <c r="I57" s="257"/>
      <c r="J57" s="257"/>
      <c r="K57" s="257"/>
      <c r="L57" s="257"/>
      <c r="M57" s="257"/>
      <c r="N57" s="257"/>
      <c r="O57" s="257"/>
      <c r="P57" s="257"/>
    </row>
    <row r="58" spans="4:16" x14ac:dyDescent="0.2">
      <c r="D58" s="257"/>
      <c r="E58" s="257"/>
      <c r="F58" s="257"/>
      <c r="G58" s="257"/>
      <c r="H58" s="257"/>
      <c r="I58" s="257"/>
      <c r="J58" s="257"/>
      <c r="K58" s="257"/>
      <c r="L58" s="257"/>
      <c r="M58" s="257"/>
      <c r="N58" s="257"/>
      <c r="O58" s="257"/>
      <c r="P58" s="257"/>
    </row>
    <row r="59" spans="4:16" x14ac:dyDescent="0.2">
      <c r="D59" s="257"/>
      <c r="E59" s="257"/>
      <c r="F59" s="257"/>
      <c r="G59" s="257"/>
      <c r="H59" s="257"/>
      <c r="I59" s="257"/>
      <c r="J59" s="257"/>
      <c r="K59" s="257"/>
      <c r="L59" s="257"/>
      <c r="M59" s="257"/>
      <c r="N59" s="257"/>
      <c r="O59" s="257"/>
      <c r="P59" s="257"/>
    </row>
    <row r="60" spans="4:16" x14ac:dyDescent="0.2">
      <c r="D60" s="257"/>
      <c r="E60" s="257"/>
      <c r="F60" s="257"/>
      <c r="G60" s="257"/>
      <c r="H60" s="257"/>
      <c r="I60" s="257"/>
      <c r="J60" s="257"/>
      <c r="K60" s="257"/>
      <c r="L60" s="257"/>
      <c r="M60" s="257"/>
      <c r="N60" s="257"/>
      <c r="O60" s="257"/>
      <c r="P60" s="257"/>
    </row>
    <row r="61" spans="4:16" x14ac:dyDescent="0.2">
      <c r="D61" s="257"/>
      <c r="E61" s="257"/>
      <c r="F61" s="257"/>
      <c r="G61" s="257"/>
      <c r="H61" s="257"/>
      <c r="I61" s="257"/>
      <c r="J61" s="257"/>
      <c r="K61" s="257"/>
      <c r="L61" s="257"/>
      <c r="M61" s="257"/>
      <c r="N61" s="257"/>
      <c r="O61" s="257"/>
      <c r="P61" s="257"/>
    </row>
    <row r="62" spans="4:16" x14ac:dyDescent="0.2">
      <c r="D62" s="257"/>
      <c r="E62" s="257"/>
      <c r="F62" s="257"/>
      <c r="G62" s="257"/>
      <c r="H62" s="257"/>
      <c r="I62" s="257"/>
      <c r="J62" s="257"/>
      <c r="K62" s="257"/>
      <c r="L62" s="257"/>
      <c r="M62" s="257"/>
      <c r="N62" s="257"/>
      <c r="O62" s="257"/>
      <c r="P62" s="257"/>
    </row>
    <row r="63" spans="4:16" x14ac:dyDescent="0.2">
      <c r="D63" s="257"/>
      <c r="E63" s="257"/>
      <c r="F63" s="257"/>
      <c r="G63" s="257"/>
      <c r="H63" s="257"/>
      <c r="I63" s="257"/>
      <c r="J63" s="257"/>
      <c r="K63" s="257"/>
      <c r="L63" s="257"/>
      <c r="M63" s="257"/>
      <c r="N63" s="257"/>
      <c r="O63" s="257"/>
      <c r="P63" s="257"/>
    </row>
    <row r="64" spans="4:16" x14ac:dyDescent="0.2">
      <c r="D64" s="257"/>
      <c r="E64" s="257"/>
      <c r="F64" s="257"/>
      <c r="G64" s="257"/>
      <c r="H64" s="257"/>
      <c r="I64" s="257"/>
      <c r="J64" s="257"/>
      <c r="K64" s="257"/>
      <c r="L64" s="257"/>
      <c r="M64" s="257"/>
      <c r="N64" s="257"/>
      <c r="O64" s="257"/>
      <c r="P64" s="257"/>
    </row>
    <row r="65" spans="4:16" x14ac:dyDescent="0.2">
      <c r="D65" s="257"/>
      <c r="E65" s="257"/>
      <c r="F65" s="257"/>
      <c r="G65" s="257"/>
      <c r="H65" s="257"/>
      <c r="I65" s="257"/>
      <c r="J65" s="257"/>
      <c r="K65" s="257"/>
      <c r="L65" s="257"/>
      <c r="M65" s="257"/>
      <c r="N65" s="257"/>
      <c r="O65" s="257"/>
      <c r="P65" s="257"/>
    </row>
    <row r="66" spans="4:16" x14ac:dyDescent="0.2">
      <c r="D66" s="257"/>
      <c r="E66" s="257"/>
      <c r="F66" s="257"/>
      <c r="G66" s="257"/>
      <c r="H66" s="257"/>
      <c r="I66" s="257"/>
      <c r="J66" s="257"/>
      <c r="K66" s="257"/>
      <c r="L66" s="257"/>
      <c r="M66" s="257"/>
      <c r="N66" s="257"/>
      <c r="O66" s="257"/>
      <c r="P66" s="257"/>
    </row>
    <row r="67" spans="4:16" x14ac:dyDescent="0.2">
      <c r="D67" s="257"/>
      <c r="E67" s="257"/>
      <c r="F67" s="257"/>
      <c r="G67" s="257"/>
      <c r="H67" s="257"/>
      <c r="I67" s="257"/>
      <c r="J67" s="257"/>
      <c r="K67" s="257"/>
      <c r="L67" s="257"/>
      <c r="M67" s="257"/>
      <c r="N67" s="257"/>
      <c r="O67" s="257"/>
      <c r="P67" s="257"/>
    </row>
    <row r="68" spans="4:16" x14ac:dyDescent="0.2">
      <c r="D68" s="257"/>
      <c r="E68" s="257"/>
      <c r="F68" s="257"/>
      <c r="G68" s="257"/>
      <c r="H68" s="257"/>
      <c r="I68" s="257"/>
      <c r="J68" s="257"/>
      <c r="K68" s="257"/>
      <c r="L68" s="257"/>
      <c r="M68" s="257"/>
      <c r="N68" s="257"/>
      <c r="O68" s="257"/>
      <c r="P68" s="257"/>
    </row>
    <row r="69" spans="4:16" x14ac:dyDescent="0.2">
      <c r="D69" s="257"/>
      <c r="E69" s="257"/>
      <c r="F69" s="257"/>
      <c r="G69" s="257"/>
      <c r="H69" s="257"/>
      <c r="I69" s="257"/>
      <c r="J69" s="257"/>
      <c r="K69" s="257"/>
      <c r="L69" s="257"/>
      <c r="M69" s="257"/>
      <c r="N69" s="257"/>
      <c r="O69" s="257"/>
      <c r="P69" s="257"/>
    </row>
    <row r="70" spans="4:16" x14ac:dyDescent="0.2">
      <c r="D70" s="257"/>
      <c r="E70" s="257"/>
      <c r="F70" s="257"/>
      <c r="G70" s="257"/>
      <c r="H70" s="257"/>
      <c r="I70" s="257"/>
      <c r="J70" s="257"/>
      <c r="K70" s="257"/>
      <c r="L70" s="257"/>
      <c r="M70" s="257"/>
      <c r="N70" s="257"/>
      <c r="O70" s="257"/>
      <c r="P70" s="257"/>
    </row>
    <row r="71" spans="4:16" x14ac:dyDescent="0.2">
      <c r="D71" s="257"/>
      <c r="E71" s="257"/>
      <c r="F71" s="257"/>
      <c r="G71" s="257"/>
      <c r="H71" s="257"/>
      <c r="I71" s="257"/>
      <c r="J71" s="257"/>
      <c r="K71" s="257"/>
      <c r="L71" s="257"/>
      <c r="M71" s="257"/>
      <c r="N71" s="257"/>
      <c r="O71" s="257"/>
      <c r="P71" s="257"/>
    </row>
    <row r="72" spans="4:16" x14ac:dyDescent="0.2">
      <c r="D72" s="257"/>
      <c r="E72" s="257"/>
      <c r="F72" s="257"/>
      <c r="G72" s="257"/>
      <c r="H72" s="257"/>
      <c r="I72" s="257"/>
      <c r="J72" s="257"/>
      <c r="K72" s="257"/>
      <c r="L72" s="257"/>
      <c r="M72" s="257"/>
      <c r="N72" s="257"/>
      <c r="O72" s="257"/>
      <c r="P72" s="257"/>
    </row>
    <row r="73" spans="4:16" x14ac:dyDescent="0.2">
      <c r="D73" s="257"/>
      <c r="E73" s="257"/>
      <c r="F73" s="257"/>
      <c r="G73" s="257"/>
      <c r="H73" s="257"/>
      <c r="I73" s="257"/>
      <c r="J73" s="257"/>
      <c r="K73" s="257"/>
      <c r="L73" s="257"/>
      <c r="M73" s="257"/>
      <c r="N73" s="257"/>
      <c r="O73" s="257"/>
      <c r="P73" s="257"/>
    </row>
    <row r="74" spans="4:16" x14ac:dyDescent="0.2">
      <c r="D74" s="257"/>
      <c r="E74" s="257"/>
      <c r="F74" s="257"/>
      <c r="G74" s="257"/>
      <c r="H74" s="257"/>
      <c r="I74" s="257"/>
      <c r="J74" s="257"/>
      <c r="K74" s="257"/>
      <c r="L74" s="257"/>
      <c r="M74" s="257"/>
      <c r="N74" s="257"/>
      <c r="O74" s="257"/>
      <c r="P74" s="257"/>
    </row>
    <row r="75" spans="4:16" x14ac:dyDescent="0.2">
      <c r="D75" s="257"/>
      <c r="E75" s="257"/>
      <c r="F75" s="257"/>
      <c r="G75" s="257"/>
      <c r="H75" s="257"/>
      <c r="I75" s="257"/>
      <c r="J75" s="257"/>
      <c r="K75" s="257"/>
      <c r="L75" s="257"/>
      <c r="M75" s="257"/>
      <c r="N75" s="257"/>
      <c r="O75" s="257"/>
      <c r="P75" s="257"/>
    </row>
    <row r="76" spans="4:16" x14ac:dyDescent="0.2">
      <c r="D76" s="257"/>
      <c r="E76" s="257"/>
      <c r="F76" s="257"/>
      <c r="G76" s="257"/>
      <c r="H76" s="257"/>
      <c r="I76" s="257"/>
      <c r="J76" s="257"/>
      <c r="K76" s="257"/>
      <c r="L76" s="257"/>
      <c r="M76" s="257"/>
      <c r="N76" s="257"/>
      <c r="O76" s="257"/>
      <c r="P76" s="257"/>
    </row>
    <row r="77" spans="4:16" x14ac:dyDescent="0.2">
      <c r="D77" s="257"/>
      <c r="E77" s="257"/>
      <c r="F77" s="257"/>
      <c r="G77" s="257"/>
      <c r="H77" s="257"/>
      <c r="I77" s="257"/>
      <c r="J77" s="257"/>
      <c r="K77" s="257"/>
      <c r="L77" s="257"/>
      <c r="M77" s="257"/>
      <c r="N77" s="257"/>
      <c r="O77" s="257"/>
      <c r="P77" s="257"/>
    </row>
    <row r="78" spans="4:16" x14ac:dyDescent="0.2">
      <c r="D78" s="257"/>
      <c r="E78" s="257"/>
      <c r="F78" s="257"/>
      <c r="G78" s="257"/>
      <c r="H78" s="257"/>
      <c r="I78" s="257"/>
      <c r="J78" s="257"/>
      <c r="K78" s="257"/>
      <c r="L78" s="257"/>
      <c r="M78" s="257"/>
      <c r="N78" s="257"/>
      <c r="O78" s="257"/>
      <c r="P78" s="257"/>
    </row>
    <row r="79" spans="4:16" x14ac:dyDescent="0.2">
      <c r="D79" s="257"/>
      <c r="E79" s="257"/>
      <c r="F79" s="257"/>
      <c r="G79" s="257"/>
      <c r="H79" s="257"/>
      <c r="I79" s="257"/>
      <c r="J79" s="257"/>
      <c r="K79" s="257"/>
      <c r="L79" s="257"/>
      <c r="M79" s="257"/>
      <c r="N79" s="257"/>
      <c r="O79" s="257"/>
      <c r="P79" s="257"/>
    </row>
    <row r="80" spans="4:16" x14ac:dyDescent="0.2">
      <c r="D80" s="257"/>
      <c r="E80" s="257"/>
      <c r="F80" s="257"/>
      <c r="G80" s="257"/>
      <c r="H80" s="257"/>
      <c r="I80" s="257"/>
      <c r="J80" s="257"/>
      <c r="K80" s="257"/>
      <c r="L80" s="257"/>
      <c r="M80" s="257"/>
      <c r="N80" s="257"/>
      <c r="O80" s="257"/>
      <c r="P80" s="257"/>
    </row>
  </sheetData>
  <pageMargins left="0.2" right="0.2" top="0.25" bottom="0.25"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view="pageBreakPreview" zoomScale="95" zoomScaleNormal="95" zoomScaleSheetLayoutView="95" workbookViewId="0">
      <selection activeCell="K13" sqref="K13"/>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4.42578125" style="5" customWidth="1"/>
    <col min="8" max="8" width="9.5703125" style="5" customWidth="1"/>
    <col min="9" max="9" width="12.140625" style="5" customWidth="1"/>
    <col min="10" max="10" width="12.85546875" style="5" customWidth="1"/>
    <col min="11" max="11" width="11.7109375" style="5" customWidth="1"/>
    <col min="12" max="16384" width="9.28515625" style="5"/>
  </cols>
  <sheetData>
    <row r="1" spans="2:11" ht="15" x14ac:dyDescent="0.2">
      <c r="C1" s="36"/>
      <c r="D1" s="36"/>
      <c r="E1" s="36"/>
      <c r="F1" s="36"/>
      <c r="G1" s="36"/>
      <c r="I1" s="33"/>
      <c r="J1" s="33"/>
      <c r="K1" s="36"/>
    </row>
    <row r="2" spans="2:11" ht="15" x14ac:dyDescent="0.2">
      <c r="B2" s="329" t="s">
        <v>394</v>
      </c>
      <c r="C2" s="329"/>
      <c r="D2" s="329"/>
      <c r="E2" s="329"/>
      <c r="F2" s="329"/>
      <c r="G2" s="329"/>
      <c r="H2" s="329"/>
      <c r="I2" s="329"/>
      <c r="J2" s="329"/>
      <c r="K2" s="329"/>
    </row>
    <row r="3" spans="2:11" ht="15" x14ac:dyDescent="0.2">
      <c r="B3" s="329" t="s">
        <v>397</v>
      </c>
      <c r="C3" s="329"/>
      <c r="D3" s="329"/>
      <c r="E3" s="329"/>
      <c r="F3" s="329"/>
      <c r="G3" s="329"/>
      <c r="H3" s="329"/>
      <c r="I3" s="329"/>
      <c r="J3" s="329"/>
      <c r="K3" s="329"/>
    </row>
    <row r="4" spans="2:11" ht="15" x14ac:dyDescent="0.2">
      <c r="B4" s="329" t="s">
        <v>369</v>
      </c>
      <c r="C4" s="329"/>
      <c r="D4" s="329"/>
      <c r="E4" s="329"/>
      <c r="F4" s="329"/>
      <c r="G4" s="329"/>
      <c r="H4" s="329"/>
      <c r="I4" s="329"/>
      <c r="J4" s="329"/>
      <c r="K4" s="329"/>
    </row>
    <row r="5" spans="2:11" ht="15" x14ac:dyDescent="0.2">
      <c r="B5" s="330" t="s">
        <v>64</v>
      </c>
      <c r="C5" s="330"/>
      <c r="D5" s="330"/>
      <c r="E5" s="330"/>
      <c r="F5" s="330"/>
      <c r="G5" s="330"/>
      <c r="H5" s="330"/>
      <c r="I5" s="330"/>
      <c r="J5" s="330"/>
      <c r="K5" s="330"/>
    </row>
    <row r="6" spans="2:11" ht="15" x14ac:dyDescent="0.2">
      <c r="K6" s="26" t="s">
        <v>4</v>
      </c>
    </row>
    <row r="7" spans="2:11" ht="15" customHeight="1" x14ac:dyDescent="0.2">
      <c r="B7" s="331" t="s">
        <v>188</v>
      </c>
      <c r="C7" s="331" t="s">
        <v>14</v>
      </c>
      <c r="D7" s="332" t="s">
        <v>1</v>
      </c>
      <c r="E7" s="326" t="s">
        <v>395</v>
      </c>
      <c r="F7" s="327"/>
      <c r="G7" s="328"/>
      <c r="H7" s="326" t="s">
        <v>396</v>
      </c>
      <c r="I7" s="328"/>
      <c r="J7" s="326" t="s">
        <v>462</v>
      </c>
      <c r="K7" s="328"/>
    </row>
    <row r="8" spans="2:11" ht="45" x14ac:dyDescent="0.2">
      <c r="B8" s="331"/>
      <c r="C8" s="331"/>
      <c r="D8" s="333"/>
      <c r="E8" s="15" t="s">
        <v>362</v>
      </c>
      <c r="F8" s="15" t="s">
        <v>232</v>
      </c>
      <c r="G8" s="15" t="s">
        <v>460</v>
      </c>
      <c r="H8" s="15" t="s">
        <v>362</v>
      </c>
      <c r="I8" s="15" t="s">
        <v>231</v>
      </c>
      <c r="J8" s="15" t="s">
        <v>362</v>
      </c>
      <c r="K8" s="15" t="s">
        <v>231</v>
      </c>
    </row>
    <row r="9" spans="2:11" ht="30" x14ac:dyDescent="0.2">
      <c r="B9" s="331"/>
      <c r="C9" s="331"/>
      <c r="D9" s="334"/>
      <c r="E9" s="15" t="s">
        <v>10</v>
      </c>
      <c r="F9" s="15" t="s">
        <v>12</v>
      </c>
      <c r="G9" s="15" t="s">
        <v>223</v>
      </c>
      <c r="H9" s="15" t="s">
        <v>10</v>
      </c>
      <c r="I9" s="15" t="s">
        <v>458</v>
      </c>
      <c r="J9" s="15" t="s">
        <v>10</v>
      </c>
      <c r="K9" s="15" t="s">
        <v>458</v>
      </c>
    </row>
    <row r="10" spans="2:11" x14ac:dyDescent="0.2">
      <c r="B10" s="20">
        <v>1</v>
      </c>
      <c r="C10" s="29" t="s">
        <v>65</v>
      </c>
      <c r="D10" s="29" t="s">
        <v>20</v>
      </c>
      <c r="E10" s="110"/>
      <c r="F10" s="126">
        <f>F2.1!D34</f>
        <v>239.06</v>
      </c>
      <c r="G10" s="126">
        <f>F10</f>
        <v>239.06</v>
      </c>
      <c r="H10" s="110"/>
      <c r="I10" s="126">
        <f>F2.1!E34</f>
        <v>250.46</v>
      </c>
      <c r="J10" s="110"/>
      <c r="K10" s="126">
        <f>F2.1!F34</f>
        <v>260.47000000000003</v>
      </c>
    </row>
    <row r="11" spans="2:11" x14ac:dyDescent="0.2">
      <c r="B11" s="20">
        <f>B10+1</f>
        <v>2</v>
      </c>
      <c r="C11" s="37" t="s">
        <v>233</v>
      </c>
      <c r="D11" s="37" t="s">
        <v>21</v>
      </c>
      <c r="E11" s="115"/>
      <c r="F11" s="127">
        <f>F2.2!D38</f>
        <v>13.33</v>
      </c>
      <c r="G11" s="126">
        <f t="shared" ref="G11:G12" si="0">F11</f>
        <v>13.33</v>
      </c>
      <c r="H11" s="110"/>
      <c r="I11" s="126">
        <f>F2.2!E38</f>
        <v>14.23</v>
      </c>
      <c r="J11" s="110"/>
      <c r="K11" s="126">
        <f>F2.2!F38</f>
        <v>15.09</v>
      </c>
    </row>
    <row r="12" spans="2:11" x14ac:dyDescent="0.2">
      <c r="B12" s="20">
        <f>B11+1</f>
        <v>3</v>
      </c>
      <c r="C12" s="29" t="s">
        <v>204</v>
      </c>
      <c r="D12" s="29" t="s">
        <v>259</v>
      </c>
      <c r="E12" s="110"/>
      <c r="F12" s="126">
        <f>F2.3!D17</f>
        <v>33.26</v>
      </c>
      <c r="G12" s="126">
        <f t="shared" si="0"/>
        <v>33.26</v>
      </c>
      <c r="H12" s="110"/>
      <c r="I12" s="126">
        <f>F2.3!E17</f>
        <v>35.29</v>
      </c>
      <c r="J12" s="110"/>
      <c r="K12" s="126">
        <f>F2.3!F17</f>
        <v>37.409999999999997</v>
      </c>
    </row>
    <row r="13" spans="2:11" ht="15" x14ac:dyDescent="0.2">
      <c r="B13" s="20">
        <f>B12+1</f>
        <v>4</v>
      </c>
      <c r="C13" s="29" t="s">
        <v>66</v>
      </c>
      <c r="D13" s="29"/>
      <c r="E13" s="128">
        <v>206.99</v>
      </c>
      <c r="F13" s="128">
        <f t="shared" ref="F13:K13" si="1">ROUND(SUM(F10:F12),2)</f>
        <v>285.64999999999998</v>
      </c>
      <c r="G13" s="128">
        <f t="shared" si="1"/>
        <v>285.64999999999998</v>
      </c>
      <c r="H13" s="128">
        <v>218.71</v>
      </c>
      <c r="I13" s="128">
        <f t="shared" si="1"/>
        <v>299.98</v>
      </c>
      <c r="J13" s="128">
        <v>230.98</v>
      </c>
      <c r="K13" s="128">
        <f t="shared" si="1"/>
        <v>312.97000000000003</v>
      </c>
    </row>
    <row r="14" spans="2:11" x14ac:dyDescent="0.2">
      <c r="B14" s="50" t="s">
        <v>234</v>
      </c>
      <c r="C14" s="51"/>
      <c r="D14" s="48"/>
      <c r="E14" s="142"/>
      <c r="F14" s="48"/>
      <c r="G14" s="49"/>
      <c r="H14" s="49"/>
      <c r="I14" s="49"/>
      <c r="J14" s="49"/>
      <c r="K14" s="49"/>
    </row>
    <row r="15" spans="2:11" x14ac:dyDescent="0.2">
      <c r="B15" s="52">
        <v>1</v>
      </c>
      <c r="C15" s="51" t="s">
        <v>235</v>
      </c>
    </row>
  </sheetData>
  <mergeCells count="10">
    <mergeCell ref="B4:K4"/>
    <mergeCell ref="B3:K3"/>
    <mergeCell ref="B2:K2"/>
    <mergeCell ref="B5:K5"/>
    <mergeCell ref="B7:B9"/>
    <mergeCell ref="C7:C9"/>
    <mergeCell ref="H7:I7"/>
    <mergeCell ref="E7:G7"/>
    <mergeCell ref="D7:D9"/>
    <mergeCell ref="J7:K7"/>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6"/>
  <sheetViews>
    <sheetView showGridLines="0" view="pageBreakPreview" topLeftCell="A17" zoomScale="98" zoomScaleNormal="95" zoomScaleSheetLayoutView="98" workbookViewId="0">
      <selection activeCell="F34" sqref="F34"/>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1" spans="2:8" ht="14.25" customHeight="1" x14ac:dyDescent="0.2">
      <c r="B1" s="329" t="s">
        <v>397</v>
      </c>
      <c r="C1" s="329"/>
      <c r="D1" s="329"/>
      <c r="E1" s="329"/>
      <c r="F1" s="329"/>
    </row>
    <row r="2" spans="2:8" s="4" customFormat="1" ht="14.25" customHeight="1" x14ac:dyDescent="0.2">
      <c r="B2" s="329" t="s">
        <v>260</v>
      </c>
      <c r="C2" s="329"/>
      <c r="D2" s="329"/>
      <c r="E2" s="329"/>
      <c r="F2" s="329"/>
    </row>
    <row r="3" spans="2:8" s="4" customFormat="1" ht="3" customHeight="1" x14ac:dyDescent="0.25">
      <c r="C3" s="41"/>
      <c r="D3" s="42"/>
      <c r="E3" s="42"/>
    </row>
    <row r="4" spans="2:8" ht="15" x14ac:dyDescent="0.2">
      <c r="F4" s="26" t="s">
        <v>4</v>
      </c>
    </row>
    <row r="5" spans="2:8" ht="12.75" customHeight="1" x14ac:dyDescent="0.2">
      <c r="B5" s="322" t="s">
        <v>2</v>
      </c>
      <c r="C5" s="322" t="s">
        <v>14</v>
      </c>
      <c r="D5" s="15" t="s">
        <v>395</v>
      </c>
      <c r="E5" s="15" t="s">
        <v>396</v>
      </c>
      <c r="F5" s="23" t="s">
        <v>462</v>
      </c>
    </row>
    <row r="6" spans="2:8" ht="15" x14ac:dyDescent="0.2">
      <c r="B6" s="322"/>
      <c r="C6" s="322"/>
      <c r="D6" s="15" t="s">
        <v>232</v>
      </c>
      <c r="E6" s="15" t="s">
        <v>231</v>
      </c>
      <c r="F6" s="15" t="s">
        <v>231</v>
      </c>
    </row>
    <row r="7" spans="2:8" ht="15" x14ac:dyDescent="0.2">
      <c r="B7" s="335"/>
      <c r="C7" s="322"/>
      <c r="D7" s="15" t="s">
        <v>12</v>
      </c>
      <c r="E7" s="15" t="s">
        <v>5</v>
      </c>
      <c r="F7" s="15" t="s">
        <v>8</v>
      </c>
    </row>
    <row r="8" spans="2:8" ht="18" customHeight="1" x14ac:dyDescent="0.2">
      <c r="B8" s="2">
        <v>1</v>
      </c>
      <c r="C8" s="43" t="s">
        <v>69</v>
      </c>
      <c r="D8" s="220">
        <v>123.54032577863228</v>
      </c>
      <c r="E8" s="220">
        <v>129.35260334433229</v>
      </c>
      <c r="F8" s="220">
        <v>134.52670747810558</v>
      </c>
      <c r="H8" s="129"/>
    </row>
    <row r="9" spans="2:8" ht="18" customHeight="1" x14ac:dyDescent="0.2">
      <c r="B9" s="2">
        <v>2</v>
      </c>
      <c r="C9" s="43" t="s">
        <v>70</v>
      </c>
      <c r="D9" s="220">
        <v>16.108385256552445</v>
      </c>
      <c r="E9" s="220">
        <v>16.863870358008175</v>
      </c>
      <c r="F9" s="220">
        <v>17.538425172328502</v>
      </c>
      <c r="H9" s="129"/>
    </row>
    <row r="10" spans="2:8" ht="18" customHeight="1" x14ac:dyDescent="0.2">
      <c r="B10" s="2">
        <v>3</v>
      </c>
      <c r="C10" s="3" t="s">
        <v>71</v>
      </c>
      <c r="D10" s="220">
        <v>9.2812853119600671</v>
      </c>
      <c r="E10" s="220">
        <v>9.9078467766981042</v>
      </c>
      <c r="F10" s="220">
        <v>10.304160647766029</v>
      </c>
      <c r="H10" s="129"/>
    </row>
    <row r="11" spans="2:8" ht="18" customHeight="1" x14ac:dyDescent="0.2">
      <c r="B11" s="2">
        <v>4</v>
      </c>
      <c r="C11" s="43" t="s">
        <v>72</v>
      </c>
      <c r="D11" s="220">
        <v>1.2414189972257719</v>
      </c>
      <c r="E11" s="220">
        <v>1.3074515140642409</v>
      </c>
      <c r="F11" s="220">
        <v>1.3597495746268105</v>
      </c>
      <c r="H11" s="129"/>
    </row>
    <row r="12" spans="2:8" ht="18" customHeight="1" x14ac:dyDescent="0.2">
      <c r="B12" s="2">
        <v>5</v>
      </c>
      <c r="C12" s="43" t="s">
        <v>73</v>
      </c>
      <c r="D12" s="220">
        <v>0</v>
      </c>
      <c r="E12" s="220">
        <v>0</v>
      </c>
      <c r="F12" s="220">
        <v>0</v>
      </c>
      <c r="H12" s="129"/>
    </row>
    <row r="13" spans="2:8" ht="18" customHeight="1" x14ac:dyDescent="0.2">
      <c r="B13" s="2">
        <v>6</v>
      </c>
      <c r="C13" s="3" t="s">
        <v>74</v>
      </c>
      <c r="D13" s="220">
        <v>15.348837122708307</v>
      </c>
      <c r="E13" s="220">
        <v>15.892606088432679</v>
      </c>
      <c r="F13" s="220">
        <v>16.528310331969987</v>
      </c>
      <c r="H13" s="129"/>
    </row>
    <row r="14" spans="2:8" ht="18" customHeight="1" x14ac:dyDescent="0.2">
      <c r="B14" s="2">
        <v>7</v>
      </c>
      <c r="C14" s="43" t="s">
        <v>75</v>
      </c>
      <c r="D14" s="220">
        <v>24.775162399251666</v>
      </c>
      <c r="E14" s="220">
        <v>26.024677764784826</v>
      </c>
      <c r="F14" s="220">
        <v>27.065664875376221</v>
      </c>
      <c r="H14" s="129"/>
    </row>
    <row r="15" spans="2:8" ht="18" customHeight="1" x14ac:dyDescent="0.2">
      <c r="B15" s="2">
        <v>8</v>
      </c>
      <c r="C15" s="43" t="s">
        <v>76</v>
      </c>
      <c r="D15" s="220">
        <v>0.47698618647002888</v>
      </c>
      <c r="E15" s="220">
        <v>0.42146770085518176</v>
      </c>
      <c r="F15" s="220">
        <v>0.43832640888938906</v>
      </c>
      <c r="H15" s="129"/>
    </row>
    <row r="16" spans="2:8" ht="18" customHeight="1" x14ac:dyDescent="0.2">
      <c r="B16" s="2">
        <v>9</v>
      </c>
      <c r="C16" s="43" t="s">
        <v>77</v>
      </c>
      <c r="D16" s="220">
        <v>0</v>
      </c>
      <c r="E16" s="220">
        <v>0</v>
      </c>
      <c r="F16" s="220">
        <v>0</v>
      </c>
      <c r="H16" s="129"/>
    </row>
    <row r="17" spans="2:8" ht="18" customHeight="1" x14ac:dyDescent="0.2">
      <c r="B17" s="2">
        <v>10</v>
      </c>
      <c r="C17" s="43" t="s">
        <v>78</v>
      </c>
      <c r="D17" s="220">
        <v>0</v>
      </c>
      <c r="E17" s="220">
        <v>0</v>
      </c>
      <c r="F17" s="220">
        <v>0</v>
      </c>
      <c r="H17" s="129"/>
    </row>
    <row r="18" spans="2:8" ht="18" customHeight="1" x14ac:dyDescent="0.2">
      <c r="B18" s="2">
        <v>11</v>
      </c>
      <c r="C18" s="43" t="s">
        <v>79</v>
      </c>
      <c r="D18" s="220">
        <v>1.817113270589533E-3</v>
      </c>
      <c r="E18" s="220">
        <v>1.9328713330525164E-3</v>
      </c>
      <c r="F18" s="220">
        <v>2.0101861863746173E-3</v>
      </c>
      <c r="H18" s="129"/>
    </row>
    <row r="19" spans="2:8" ht="18" customHeight="1" x14ac:dyDescent="0.2">
      <c r="B19" s="2">
        <v>12</v>
      </c>
      <c r="C19" s="43" t="s">
        <v>80</v>
      </c>
      <c r="D19" s="220">
        <v>2.6021167113993173</v>
      </c>
      <c r="E19" s="220">
        <v>2.7390312467490903</v>
      </c>
      <c r="F19" s="220">
        <v>2.8485924966190539</v>
      </c>
      <c r="H19" s="129"/>
    </row>
    <row r="20" spans="2:8" ht="18" customHeight="1" x14ac:dyDescent="0.2">
      <c r="B20" s="2">
        <v>13</v>
      </c>
      <c r="C20" s="43" t="s">
        <v>81</v>
      </c>
      <c r="D20" s="220">
        <v>0</v>
      </c>
      <c r="E20" s="220">
        <v>0</v>
      </c>
      <c r="F20" s="220">
        <v>0</v>
      </c>
      <c r="H20" s="129"/>
    </row>
    <row r="21" spans="2:8" ht="18" customHeight="1" x14ac:dyDescent="0.2">
      <c r="B21" s="2">
        <v>14</v>
      </c>
      <c r="C21" s="43" t="s">
        <v>82</v>
      </c>
      <c r="D21" s="220">
        <v>0</v>
      </c>
      <c r="E21" s="220">
        <v>0</v>
      </c>
      <c r="F21" s="220">
        <v>0</v>
      </c>
      <c r="H21" s="129"/>
    </row>
    <row r="22" spans="2:8" ht="18" customHeight="1" x14ac:dyDescent="0.2">
      <c r="B22" s="2">
        <v>15</v>
      </c>
      <c r="C22" s="43" t="s">
        <v>83</v>
      </c>
      <c r="D22" s="220">
        <v>0</v>
      </c>
      <c r="E22" s="220">
        <v>0</v>
      </c>
      <c r="F22" s="220">
        <v>0</v>
      </c>
      <c r="H22" s="129"/>
    </row>
    <row r="23" spans="2:8" ht="18" customHeight="1" x14ac:dyDescent="0.2">
      <c r="B23" s="2">
        <v>16</v>
      </c>
      <c r="C23" s="43" t="s">
        <v>84</v>
      </c>
      <c r="D23" s="220">
        <v>0</v>
      </c>
      <c r="E23" s="220">
        <v>0</v>
      </c>
      <c r="F23" s="220">
        <v>0</v>
      </c>
      <c r="H23" s="129"/>
    </row>
    <row r="24" spans="2:8" ht="18" customHeight="1" x14ac:dyDescent="0.2">
      <c r="B24" s="2">
        <v>17</v>
      </c>
      <c r="C24" s="43" t="s">
        <v>85</v>
      </c>
      <c r="D24" s="120">
        <f>SUM(D8:D23)</f>
        <v>193.37633487747044</v>
      </c>
      <c r="E24" s="121">
        <f>SUM(E8:E23)</f>
        <v>202.51148766525762</v>
      </c>
      <c r="F24" s="121">
        <f>SUM(F8:F23)</f>
        <v>210.61194717186794</v>
      </c>
      <c r="H24" s="130"/>
    </row>
    <row r="25" spans="2:8" ht="18" customHeight="1" x14ac:dyDescent="0.2">
      <c r="B25" s="2">
        <v>18</v>
      </c>
      <c r="C25" s="43" t="s">
        <v>86</v>
      </c>
      <c r="D25" s="220">
        <v>0</v>
      </c>
      <c r="E25" s="220">
        <v>0</v>
      </c>
      <c r="F25" s="220">
        <v>0</v>
      </c>
    </row>
    <row r="26" spans="2:8" ht="18" customHeight="1" x14ac:dyDescent="0.2">
      <c r="B26" s="2">
        <f>+B25+0.1</f>
        <v>18.100000000000001</v>
      </c>
      <c r="C26" s="43" t="s">
        <v>87</v>
      </c>
      <c r="D26" s="220">
        <v>0</v>
      </c>
      <c r="E26" s="220">
        <v>0</v>
      </c>
      <c r="F26" s="220">
        <v>0</v>
      </c>
    </row>
    <row r="27" spans="2:8" ht="18" customHeight="1" x14ac:dyDescent="0.2">
      <c r="B27" s="2">
        <f>+B26+0.1</f>
        <v>18.200000000000003</v>
      </c>
      <c r="C27" s="43" t="s">
        <v>88</v>
      </c>
      <c r="D27" s="220">
        <v>13.534327667626476</v>
      </c>
      <c r="E27" s="220">
        <v>14.254678520393924</v>
      </c>
      <c r="F27" s="220">
        <v>14.824865661209682</v>
      </c>
    </row>
    <row r="28" spans="2:8" ht="18" customHeight="1" x14ac:dyDescent="0.2">
      <c r="B28" s="2">
        <f>+B27+0.1</f>
        <v>18.300000000000004</v>
      </c>
      <c r="C28" s="43" t="s">
        <v>89</v>
      </c>
      <c r="D28" s="220">
        <v>0</v>
      </c>
      <c r="E28" s="220">
        <v>0</v>
      </c>
      <c r="F28" s="220">
        <v>0</v>
      </c>
    </row>
    <row r="29" spans="2:8" ht="17.25" customHeight="1" x14ac:dyDescent="0.2">
      <c r="B29" s="2">
        <f>+B28+0.1</f>
        <v>18.400000000000006</v>
      </c>
      <c r="C29" s="43" t="s">
        <v>90</v>
      </c>
      <c r="D29" s="220">
        <v>32.147992327622717</v>
      </c>
      <c r="E29" s="220">
        <v>33.689408795846994</v>
      </c>
      <c r="F29" s="220">
        <v>35.036985147680873</v>
      </c>
    </row>
    <row r="30" spans="2:8" ht="30.75" customHeight="1" x14ac:dyDescent="0.2">
      <c r="B30" s="2">
        <v>19</v>
      </c>
      <c r="C30" s="47" t="s">
        <v>385</v>
      </c>
      <c r="D30" s="220">
        <v>0</v>
      </c>
      <c r="E30" s="220">
        <v>0</v>
      </c>
      <c r="F30" s="220">
        <v>0</v>
      </c>
    </row>
    <row r="31" spans="2:8" ht="18" customHeight="1" x14ac:dyDescent="0.2">
      <c r="B31" s="2">
        <v>20</v>
      </c>
      <c r="C31" s="43" t="s">
        <v>91</v>
      </c>
      <c r="D31" s="220">
        <v>0</v>
      </c>
      <c r="E31" s="220">
        <v>0</v>
      </c>
      <c r="F31" s="220">
        <v>0</v>
      </c>
    </row>
    <row r="32" spans="2:8" ht="18" customHeight="1" x14ac:dyDescent="0.25">
      <c r="B32" s="14">
        <v>21</v>
      </c>
      <c r="C32" s="44" t="s">
        <v>92</v>
      </c>
      <c r="D32" s="109">
        <f>SUM(D24:D31)</f>
        <v>239.05865487271964</v>
      </c>
      <c r="E32" s="109">
        <f>SUM(E24:E31)</f>
        <v>250.45557498149853</v>
      </c>
      <c r="F32" s="109">
        <f>SUM(F24:F31)</f>
        <v>260.47379798075849</v>
      </c>
    </row>
    <row r="33" spans="2:6" ht="18" customHeight="1" x14ac:dyDescent="0.25">
      <c r="B33" s="2">
        <v>22</v>
      </c>
      <c r="C33" s="43" t="s">
        <v>13</v>
      </c>
      <c r="D33" s="226"/>
      <c r="E33" s="227"/>
      <c r="F33" s="227"/>
    </row>
    <row r="34" spans="2:6" ht="18" customHeight="1" x14ac:dyDescent="0.2">
      <c r="B34" s="14">
        <v>23</v>
      </c>
      <c r="C34" s="19" t="s">
        <v>93</v>
      </c>
      <c r="D34" s="103">
        <f>ROUND(D32-D33,2)</f>
        <v>239.06</v>
      </c>
      <c r="E34" s="103">
        <f t="shared" ref="E34:F34" si="0">ROUND(E32-E33,2)</f>
        <v>250.46</v>
      </c>
      <c r="F34" s="103">
        <f t="shared" si="0"/>
        <v>260.47000000000003</v>
      </c>
    </row>
    <row r="35" spans="2:6" ht="27.75" customHeight="1" x14ac:dyDescent="0.2">
      <c r="B35" s="45"/>
      <c r="D35" s="131"/>
    </row>
    <row r="36" spans="2:6" x14ac:dyDescent="0.2">
      <c r="B36" s="46"/>
    </row>
  </sheetData>
  <mergeCells count="4">
    <mergeCell ref="B5:B7"/>
    <mergeCell ref="C5:C7"/>
    <mergeCell ref="B1:F1"/>
    <mergeCell ref="B2:F2"/>
  </mergeCells>
  <pageMargins left="1" right="0.25" top="0.25" bottom="0.25" header="0.5" footer="0.5"/>
  <pageSetup paperSize="9" scale="95" fitToHeight="0" orientation="landscape" r:id="rId1"/>
  <headerFooter alignWithMargins="0"/>
  <rowBreaks count="1" manualBreakCount="1">
    <brk id="34"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12" zoomScale="96" zoomScaleSheetLayoutView="96" workbookViewId="0">
      <selection activeCell="D38" sqref="D38"/>
    </sheetView>
  </sheetViews>
  <sheetFormatPr defaultColWidth="9.28515625" defaultRowHeight="14.25" x14ac:dyDescent="0.2"/>
  <cols>
    <col min="1" max="1" width="2" style="13" customWidth="1"/>
    <col min="2" max="2" width="7" style="13" customWidth="1"/>
    <col min="3" max="3" width="50.28515625" style="13" customWidth="1"/>
    <col min="4" max="5" width="15.7109375" style="13" customWidth="1"/>
    <col min="6" max="6" width="16.140625" style="13" customWidth="1"/>
    <col min="7" max="16384" width="9.28515625" style="13"/>
  </cols>
  <sheetData>
    <row r="1" spans="2:6" ht="14.25" customHeight="1" x14ac:dyDescent="0.2">
      <c r="B1" s="329" t="s">
        <v>394</v>
      </c>
      <c r="C1" s="329"/>
      <c r="D1" s="329"/>
      <c r="E1" s="329"/>
      <c r="F1" s="329"/>
    </row>
    <row r="2" spans="2:6" ht="14.25" customHeight="1" x14ac:dyDescent="0.2">
      <c r="B2" s="329" t="s">
        <v>397</v>
      </c>
      <c r="C2" s="329"/>
      <c r="D2" s="329"/>
      <c r="E2" s="329"/>
      <c r="F2" s="329"/>
    </row>
    <row r="3" spans="2:6" s="4" customFormat="1" ht="15" x14ac:dyDescent="0.2">
      <c r="B3" s="329" t="s">
        <v>398</v>
      </c>
      <c r="C3" s="329"/>
      <c r="D3" s="329"/>
      <c r="E3" s="329"/>
      <c r="F3" s="329"/>
    </row>
    <row r="4" spans="2:6" ht="15" x14ac:dyDescent="0.2">
      <c r="F4" s="26" t="s">
        <v>4</v>
      </c>
    </row>
    <row r="5" spans="2:6" ht="12.75" customHeight="1" x14ac:dyDescent="0.2">
      <c r="B5" s="324" t="s">
        <v>188</v>
      </c>
      <c r="C5" s="322" t="s">
        <v>14</v>
      </c>
      <c r="D5" s="15" t="s">
        <v>395</v>
      </c>
      <c r="E5" s="15" t="s">
        <v>396</v>
      </c>
      <c r="F5" s="23" t="s">
        <v>462</v>
      </c>
    </row>
    <row r="6" spans="2:6" ht="15" x14ac:dyDescent="0.2">
      <c r="B6" s="324"/>
      <c r="C6" s="322"/>
      <c r="D6" s="15" t="s">
        <v>232</v>
      </c>
      <c r="E6" s="15" t="s">
        <v>231</v>
      </c>
      <c r="F6" s="15" t="s">
        <v>231</v>
      </c>
    </row>
    <row r="7" spans="2:6" ht="15" x14ac:dyDescent="0.2">
      <c r="B7" s="324"/>
      <c r="C7" s="322"/>
      <c r="D7" s="15" t="s">
        <v>12</v>
      </c>
      <c r="E7" s="15" t="s">
        <v>5</v>
      </c>
      <c r="F7" s="15" t="s">
        <v>8</v>
      </c>
    </row>
    <row r="8" spans="2:6" x14ac:dyDescent="0.2">
      <c r="B8" s="3">
        <v>1</v>
      </c>
      <c r="C8" s="53" t="s">
        <v>94</v>
      </c>
      <c r="D8" s="220">
        <v>2.1802519551854309</v>
      </c>
      <c r="E8" s="220">
        <v>2.3325601304098442</v>
      </c>
      <c r="F8" s="220">
        <v>2.4725137382344351</v>
      </c>
    </row>
    <row r="9" spans="2:6" x14ac:dyDescent="0.2">
      <c r="B9" s="3">
        <v>2</v>
      </c>
      <c r="C9" s="54" t="s">
        <v>95</v>
      </c>
      <c r="D9" s="220">
        <v>0</v>
      </c>
      <c r="E9" s="220">
        <v>0</v>
      </c>
      <c r="F9" s="220">
        <v>0</v>
      </c>
    </row>
    <row r="10" spans="2:6" x14ac:dyDescent="0.2">
      <c r="B10" s="3">
        <v>3</v>
      </c>
      <c r="C10" s="54" t="s">
        <v>96</v>
      </c>
      <c r="D10" s="220">
        <v>7.8317255035860983E-2</v>
      </c>
      <c r="E10" s="220">
        <v>8.3687300745239168E-2</v>
      </c>
      <c r="F10" s="220">
        <v>8.8708538789953523E-2</v>
      </c>
    </row>
    <row r="11" spans="2:6" x14ac:dyDescent="0.2">
      <c r="B11" s="3">
        <v>4</v>
      </c>
      <c r="C11" s="54" t="s">
        <v>97</v>
      </c>
      <c r="D11" s="220">
        <v>0.21084944519373922</v>
      </c>
      <c r="E11" s="220">
        <v>0.22541155520751907</v>
      </c>
      <c r="F11" s="220">
        <v>0.23893624851997022</v>
      </c>
    </row>
    <row r="12" spans="2:6" x14ac:dyDescent="0.2">
      <c r="B12" s="3">
        <v>5</v>
      </c>
      <c r="C12" s="54" t="s">
        <v>98</v>
      </c>
      <c r="D12" s="220">
        <v>1.5189551527223517E-2</v>
      </c>
      <c r="E12" s="220">
        <v>2.1056386072576604E-2</v>
      </c>
      <c r="F12" s="220">
        <v>2.23197692369312E-2</v>
      </c>
    </row>
    <row r="13" spans="2:6" x14ac:dyDescent="0.2">
      <c r="B13" s="3">
        <v>6</v>
      </c>
      <c r="C13" s="54" t="s">
        <v>99</v>
      </c>
      <c r="D13" s="220">
        <v>4.9749483345614402E-2</v>
      </c>
      <c r="E13" s="220">
        <v>5.328166933755836E-2</v>
      </c>
      <c r="F13" s="220">
        <v>5.6478569497811867E-2</v>
      </c>
    </row>
    <row r="14" spans="2:6" x14ac:dyDescent="0.2">
      <c r="B14" s="3">
        <v>7</v>
      </c>
      <c r="C14" s="54" t="s">
        <v>100</v>
      </c>
      <c r="D14" s="220">
        <v>0.94587148406988941</v>
      </c>
      <c r="E14" s="220">
        <v>0.91192757738868302</v>
      </c>
      <c r="F14" s="220">
        <v>0.96664323203200408</v>
      </c>
    </row>
    <row r="15" spans="2:6" x14ac:dyDescent="0.2">
      <c r="B15" s="3">
        <v>8</v>
      </c>
      <c r="C15" s="54" t="s">
        <v>101</v>
      </c>
      <c r="D15" s="220">
        <v>1.7087174330781916E-3</v>
      </c>
      <c r="E15" s="220">
        <v>1.8363335235074487E-3</v>
      </c>
      <c r="F15" s="220">
        <v>1.9465135349178958E-3</v>
      </c>
    </row>
    <row r="16" spans="2:6" x14ac:dyDescent="0.2">
      <c r="B16" s="3">
        <v>9</v>
      </c>
      <c r="C16" s="54" t="s">
        <v>102</v>
      </c>
      <c r="D16" s="220">
        <v>6.6826993626551801</v>
      </c>
      <c r="E16" s="220">
        <v>7.1887015449711429</v>
      </c>
      <c r="F16" s="220">
        <v>7.6200236376694122</v>
      </c>
    </row>
    <row r="17" spans="2:6" x14ac:dyDescent="0.2">
      <c r="B17" s="3">
        <v>10</v>
      </c>
      <c r="C17" s="54" t="s">
        <v>103</v>
      </c>
      <c r="D17" s="220">
        <v>0.28575327965138769</v>
      </c>
      <c r="E17" s="220">
        <v>0.30711400950408441</v>
      </c>
      <c r="F17" s="220">
        <v>0.32554085007432948</v>
      </c>
    </row>
    <row r="18" spans="2:6" x14ac:dyDescent="0.2">
      <c r="B18" s="3">
        <v>11</v>
      </c>
      <c r="C18" s="54" t="s">
        <v>104</v>
      </c>
      <c r="D18" s="220">
        <v>1.220833395745931E-3</v>
      </c>
      <c r="E18" s="220">
        <v>1.3034233471885188E-3</v>
      </c>
      <c r="F18" s="220">
        <v>1.3816287480198299E-3</v>
      </c>
    </row>
    <row r="19" spans="2:6" x14ac:dyDescent="0.2">
      <c r="B19" s="3">
        <v>12</v>
      </c>
      <c r="C19" s="54" t="s">
        <v>105</v>
      </c>
      <c r="D19" s="220">
        <v>0</v>
      </c>
      <c r="E19" s="220">
        <v>0</v>
      </c>
      <c r="F19" s="220">
        <v>0</v>
      </c>
    </row>
    <row r="20" spans="2:6" x14ac:dyDescent="0.2">
      <c r="B20" s="3">
        <v>13</v>
      </c>
      <c r="C20" s="54" t="s">
        <v>106</v>
      </c>
      <c r="D20" s="220">
        <v>1.8380039567798757E-2</v>
      </c>
      <c r="E20" s="220">
        <v>1.9729699108036656E-2</v>
      </c>
      <c r="F20" s="220">
        <v>2.0913481054518856E-2</v>
      </c>
    </row>
    <row r="21" spans="2:6" x14ac:dyDescent="0.2">
      <c r="B21" s="3">
        <v>14</v>
      </c>
      <c r="C21" s="54" t="s">
        <v>107</v>
      </c>
      <c r="D21" s="220">
        <v>8.50474097774543E-2</v>
      </c>
      <c r="E21" s="220">
        <v>9.1727198816960925E-2</v>
      </c>
      <c r="F21" s="220">
        <v>9.7230830745978589E-2</v>
      </c>
    </row>
    <row r="22" spans="2:6" x14ac:dyDescent="0.2">
      <c r="B22" s="3">
        <v>15</v>
      </c>
      <c r="C22" s="54" t="s">
        <v>108</v>
      </c>
      <c r="D22" s="220">
        <v>0</v>
      </c>
      <c r="E22" s="220">
        <v>0</v>
      </c>
      <c r="F22" s="220">
        <v>0</v>
      </c>
    </row>
    <row r="23" spans="2:6" x14ac:dyDescent="0.2">
      <c r="B23" s="3">
        <v>16</v>
      </c>
      <c r="C23" s="53" t="s">
        <v>109</v>
      </c>
      <c r="D23" s="220">
        <v>0</v>
      </c>
      <c r="E23" s="220">
        <v>0</v>
      </c>
      <c r="F23" s="220">
        <v>0</v>
      </c>
    </row>
    <row r="24" spans="2:6" x14ac:dyDescent="0.2">
      <c r="B24" s="3">
        <v>17</v>
      </c>
      <c r="C24" s="53" t="s">
        <v>110</v>
      </c>
      <c r="D24" s="220">
        <v>0</v>
      </c>
      <c r="E24" s="220">
        <v>0</v>
      </c>
      <c r="F24" s="220">
        <v>0</v>
      </c>
    </row>
    <row r="25" spans="2:6" x14ac:dyDescent="0.2">
      <c r="B25" s="3">
        <v>18</v>
      </c>
      <c r="C25" s="54" t="s">
        <v>111</v>
      </c>
      <c r="D25" s="220">
        <v>3.7645775939288931E-2</v>
      </c>
      <c r="E25" s="220">
        <v>4.0569259867212916E-2</v>
      </c>
      <c r="F25" s="220">
        <v>4.3003415459245693E-2</v>
      </c>
    </row>
    <row r="26" spans="2:6" x14ac:dyDescent="0.2">
      <c r="B26" s="3">
        <v>19</v>
      </c>
      <c r="C26" s="54" t="s">
        <v>112</v>
      </c>
      <c r="D26" s="220">
        <v>1.3539884145973793</v>
      </c>
      <c r="E26" s="220">
        <v>1.4324029266538754</v>
      </c>
      <c r="F26" s="220">
        <v>1.5183471022531079</v>
      </c>
    </row>
    <row r="27" spans="2:6" x14ac:dyDescent="0.2">
      <c r="B27" s="3">
        <v>20</v>
      </c>
      <c r="C27" s="54" t="s">
        <v>113</v>
      </c>
      <c r="D27" s="220">
        <v>0</v>
      </c>
      <c r="E27" s="220">
        <v>0</v>
      </c>
      <c r="F27" s="220">
        <v>0</v>
      </c>
    </row>
    <row r="28" spans="2:6" x14ac:dyDescent="0.2">
      <c r="B28" s="3">
        <v>21</v>
      </c>
      <c r="C28" s="54" t="s">
        <v>114</v>
      </c>
      <c r="D28" s="220">
        <v>0</v>
      </c>
      <c r="E28" s="220">
        <v>0</v>
      </c>
      <c r="F28" s="220">
        <v>0</v>
      </c>
    </row>
    <row r="29" spans="2:6" x14ac:dyDescent="0.2">
      <c r="B29" s="3">
        <v>22</v>
      </c>
      <c r="C29" s="54" t="s">
        <v>115</v>
      </c>
      <c r="D29" s="220">
        <v>1.5078490785388846E-2</v>
      </c>
      <c r="E29" s="220">
        <v>1.6320508347945812E-2</v>
      </c>
      <c r="F29" s="220">
        <v>1.7299738848822563E-2</v>
      </c>
    </row>
    <row r="30" spans="2:6" x14ac:dyDescent="0.2">
      <c r="B30" s="3">
        <v>23</v>
      </c>
      <c r="C30" s="54" t="s">
        <v>116</v>
      </c>
      <c r="D30" s="220">
        <v>0</v>
      </c>
      <c r="E30" s="220">
        <v>0</v>
      </c>
      <c r="F30" s="220">
        <v>0</v>
      </c>
    </row>
    <row r="31" spans="2:6" x14ac:dyDescent="0.2">
      <c r="B31" s="3">
        <v>24</v>
      </c>
      <c r="C31" s="54" t="s">
        <v>117</v>
      </c>
      <c r="D31" s="220">
        <v>4.168199617190535E-2</v>
      </c>
      <c r="E31" s="220">
        <v>4.4832373148891512E-2</v>
      </c>
      <c r="F31" s="220">
        <v>4.7522315537825002E-2</v>
      </c>
    </row>
    <row r="32" spans="2:6" x14ac:dyDescent="0.2">
      <c r="B32" s="3">
        <v>25</v>
      </c>
      <c r="C32" s="54" t="s">
        <v>118</v>
      </c>
      <c r="D32" s="220">
        <v>0</v>
      </c>
      <c r="E32" s="220">
        <v>0</v>
      </c>
      <c r="F32" s="220">
        <v>0</v>
      </c>
    </row>
    <row r="33" spans="2:6" x14ac:dyDescent="0.2">
      <c r="B33" s="3">
        <v>26</v>
      </c>
      <c r="C33" s="54" t="s">
        <v>119</v>
      </c>
      <c r="D33" s="220">
        <v>0</v>
      </c>
      <c r="E33" s="220">
        <v>0</v>
      </c>
      <c r="F33" s="220">
        <v>0</v>
      </c>
    </row>
    <row r="34" spans="2:6" x14ac:dyDescent="0.2">
      <c r="B34" s="3">
        <v>27</v>
      </c>
      <c r="C34" s="54" t="s">
        <v>120</v>
      </c>
      <c r="D34" s="220">
        <v>1.9531638104535769E-2</v>
      </c>
      <c r="E34" s="220">
        <v>2.0802030791728394E-2</v>
      </c>
      <c r="F34" s="220">
        <v>2.2050152639232098E-2</v>
      </c>
    </row>
    <row r="35" spans="2:6" x14ac:dyDescent="0.2">
      <c r="B35" s="3">
        <v>28</v>
      </c>
      <c r="C35" s="54" t="s">
        <v>91</v>
      </c>
      <c r="D35" s="220">
        <v>1.3058677218042807</v>
      </c>
      <c r="E35" s="220">
        <v>1.44</v>
      </c>
      <c r="F35" s="220">
        <v>1.5323412261928404</v>
      </c>
    </row>
    <row r="36" spans="2:6" ht="15" x14ac:dyDescent="0.25">
      <c r="B36" s="3">
        <v>29</v>
      </c>
      <c r="C36" s="55" t="s">
        <v>121</v>
      </c>
      <c r="D36" s="103">
        <f>SUM(D8:D35)</f>
        <v>13.328832854241181</v>
      </c>
      <c r="E36" s="103">
        <f>SUM(E8:E35)</f>
        <v>14.233263927241996</v>
      </c>
      <c r="F36" s="103">
        <f>SUM(F8:F35)</f>
        <v>15.093200989069357</v>
      </c>
    </row>
    <row r="37" spans="2:6" ht="15" x14ac:dyDescent="0.25">
      <c r="B37" s="3">
        <v>30</v>
      </c>
      <c r="C37" s="43" t="s">
        <v>13</v>
      </c>
      <c r="D37" s="228"/>
      <c r="E37" s="229"/>
      <c r="F37" s="230"/>
    </row>
    <row r="38" spans="2:6" ht="15" x14ac:dyDescent="0.2">
      <c r="B38" s="3">
        <v>31</v>
      </c>
      <c r="C38" s="19" t="s">
        <v>122</v>
      </c>
      <c r="D38" s="103">
        <f>ROUND(D36-D37,2)</f>
        <v>13.33</v>
      </c>
      <c r="E38" s="103">
        <f t="shared" ref="E38:F38" si="0">ROUND(E36-E37,2)</f>
        <v>14.23</v>
      </c>
      <c r="F38" s="103">
        <f t="shared" si="0"/>
        <v>15.09</v>
      </c>
    </row>
  </sheetData>
  <mergeCells count="5">
    <mergeCell ref="B5:B7"/>
    <mergeCell ref="C5:C7"/>
    <mergeCell ref="B3:F3"/>
    <mergeCell ref="B2:F2"/>
    <mergeCell ref="B1:F1"/>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1"/>
  <sheetViews>
    <sheetView showGridLines="0" view="pageBreakPreview" zoomScale="90" zoomScaleNormal="98" zoomScaleSheetLayoutView="90" workbookViewId="0">
      <selection activeCell="F17" sqref="F17"/>
    </sheetView>
  </sheetViews>
  <sheetFormatPr defaultColWidth="9.28515625" defaultRowHeight="14.25" x14ac:dyDescent="0.2"/>
  <cols>
    <col min="1" max="1" width="4.5703125" style="13" customWidth="1"/>
    <col min="2" max="2" width="8.7109375" style="56"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329" t="s">
        <v>394</v>
      </c>
      <c r="C2" s="329"/>
      <c r="D2" s="329"/>
      <c r="E2" s="329"/>
      <c r="F2" s="329"/>
    </row>
    <row r="3" spans="2:6" ht="14.25" customHeight="1" x14ac:dyDescent="0.2">
      <c r="B3" s="329" t="s">
        <v>397</v>
      </c>
      <c r="C3" s="329"/>
      <c r="D3" s="329"/>
      <c r="E3" s="329"/>
      <c r="F3" s="329"/>
    </row>
    <row r="4" spans="2:6" s="4" customFormat="1" ht="14.25" customHeight="1" x14ac:dyDescent="0.2">
      <c r="B4" s="329" t="s">
        <v>261</v>
      </c>
      <c r="C4" s="329"/>
      <c r="D4" s="329"/>
      <c r="E4" s="329"/>
      <c r="F4" s="329"/>
    </row>
    <row r="5" spans="2:6" ht="15" x14ac:dyDescent="0.2">
      <c r="F5" s="26" t="s">
        <v>4</v>
      </c>
    </row>
    <row r="6" spans="2:6" ht="12.75" customHeight="1" x14ac:dyDescent="0.2">
      <c r="B6" s="324" t="s">
        <v>188</v>
      </c>
      <c r="C6" s="322" t="s">
        <v>14</v>
      </c>
      <c r="D6" s="15" t="s">
        <v>395</v>
      </c>
      <c r="E6" s="15" t="s">
        <v>396</v>
      </c>
      <c r="F6" s="23" t="s">
        <v>462</v>
      </c>
    </row>
    <row r="7" spans="2:6" ht="15" x14ac:dyDescent="0.2">
      <c r="B7" s="324"/>
      <c r="C7" s="322"/>
      <c r="D7" s="15" t="s">
        <v>232</v>
      </c>
      <c r="E7" s="15" t="s">
        <v>231</v>
      </c>
      <c r="F7" s="15" t="s">
        <v>231</v>
      </c>
    </row>
    <row r="8" spans="2:6" ht="15" x14ac:dyDescent="0.2">
      <c r="B8" s="324"/>
      <c r="C8" s="322"/>
      <c r="D8" s="15" t="s">
        <v>12</v>
      </c>
      <c r="E8" s="15" t="s">
        <v>5</v>
      </c>
      <c r="F8" s="15" t="s">
        <v>8</v>
      </c>
    </row>
    <row r="9" spans="2:6" x14ac:dyDescent="0.2">
      <c r="B9" s="2">
        <v>1</v>
      </c>
      <c r="C9" s="54" t="s">
        <v>123</v>
      </c>
      <c r="D9" s="220">
        <v>28.993761483035836</v>
      </c>
      <c r="E9" s="220">
        <v>30.78095536954898</v>
      </c>
      <c r="F9" s="220">
        <v>32.627812691721921</v>
      </c>
    </row>
    <row r="10" spans="2:6" x14ac:dyDescent="0.2">
      <c r="B10" s="2">
        <v>2</v>
      </c>
      <c r="C10" s="54" t="s">
        <v>124</v>
      </c>
      <c r="D10" s="220">
        <v>2.9939847475597849</v>
      </c>
      <c r="E10" s="220">
        <v>3.1663355372751676</v>
      </c>
      <c r="F10" s="220">
        <v>3.3563156695116776</v>
      </c>
    </row>
    <row r="11" spans="2:6" x14ac:dyDescent="0.2">
      <c r="B11" s="2">
        <v>3</v>
      </c>
      <c r="C11" s="54" t="s">
        <v>125</v>
      </c>
      <c r="D11" s="220">
        <v>0</v>
      </c>
      <c r="E11" s="220">
        <v>0</v>
      </c>
      <c r="F11" s="220">
        <v>0</v>
      </c>
    </row>
    <row r="12" spans="2:6" x14ac:dyDescent="0.2">
      <c r="B12" s="2">
        <v>4</v>
      </c>
      <c r="C12" s="54" t="s">
        <v>126</v>
      </c>
      <c r="D12" s="220">
        <v>5.43685E-3</v>
      </c>
      <c r="E12" s="220">
        <v>5.7856570130874509E-3</v>
      </c>
      <c r="F12" s="220">
        <v>6.1327964338726984E-3</v>
      </c>
    </row>
    <row r="13" spans="2:6" x14ac:dyDescent="0.2">
      <c r="B13" s="2">
        <v>5</v>
      </c>
      <c r="C13" s="54" t="s">
        <v>127</v>
      </c>
      <c r="D13" s="220">
        <v>0.9820749091570814</v>
      </c>
      <c r="E13" s="220">
        <v>1.0375830539096496</v>
      </c>
      <c r="F13" s="220">
        <v>1.0998380371442287</v>
      </c>
    </row>
    <row r="14" spans="2:6" x14ac:dyDescent="0.2">
      <c r="B14" s="2">
        <v>6</v>
      </c>
      <c r="C14" s="54" t="s">
        <v>128</v>
      </c>
      <c r="D14" s="220">
        <v>1.2403644884537416E-2</v>
      </c>
      <c r="E14" s="220">
        <v>1.3162278952046112E-2</v>
      </c>
      <c r="F14" s="220">
        <v>1.3952015689168878E-2</v>
      </c>
    </row>
    <row r="15" spans="2:6" x14ac:dyDescent="0.2">
      <c r="B15" s="2">
        <v>7</v>
      </c>
      <c r="C15" s="54" t="s">
        <v>129</v>
      </c>
      <c r="D15" s="220">
        <v>0</v>
      </c>
      <c r="E15" s="220">
        <v>0</v>
      </c>
      <c r="F15" s="220">
        <v>0</v>
      </c>
    </row>
    <row r="16" spans="2:6" x14ac:dyDescent="0.2">
      <c r="B16" s="2">
        <v>8</v>
      </c>
      <c r="C16" s="54" t="s">
        <v>130</v>
      </c>
      <c r="D16" s="220">
        <v>0.26862321697740471</v>
      </c>
      <c r="E16" s="220">
        <v>0.28257879382074857</v>
      </c>
      <c r="F16" s="220">
        <v>0.31</v>
      </c>
    </row>
    <row r="17" spans="2:6" ht="15" x14ac:dyDescent="0.25">
      <c r="B17" s="2">
        <v>9</v>
      </c>
      <c r="C17" s="55" t="s">
        <v>131</v>
      </c>
      <c r="D17" s="103">
        <f>ROUND(SUM(D9:D16),2)</f>
        <v>33.26</v>
      </c>
      <c r="E17" s="103">
        <f t="shared" ref="E17:F17" si="0">ROUND(SUM(E9:E16),2)</f>
        <v>35.29</v>
      </c>
      <c r="F17" s="103">
        <f t="shared" si="0"/>
        <v>37.409999999999997</v>
      </c>
    </row>
    <row r="18" spans="2:6" ht="15" x14ac:dyDescent="0.25">
      <c r="B18" s="2"/>
      <c r="C18" s="53"/>
      <c r="D18" s="232"/>
      <c r="E18" s="233"/>
      <c r="F18" s="234"/>
    </row>
    <row r="19" spans="2:6" ht="15" x14ac:dyDescent="0.2">
      <c r="B19" s="2">
        <v>10</v>
      </c>
      <c r="C19" s="57" t="s">
        <v>132</v>
      </c>
      <c r="D19" s="103">
        <f>'F4'!F22</f>
        <v>2270.04</v>
      </c>
      <c r="E19" s="103">
        <f>'F4'!F39</f>
        <v>2281.59</v>
      </c>
      <c r="F19" s="103">
        <f>'F4'!F56</f>
        <v>2281.59</v>
      </c>
    </row>
    <row r="20" spans="2:6" ht="28.5" x14ac:dyDescent="0.2">
      <c r="B20" s="2">
        <v>11</v>
      </c>
      <c r="C20" s="57" t="s">
        <v>133</v>
      </c>
      <c r="D20" s="108">
        <f>IFERROR(D17/D19,0)</f>
        <v>1.4651724198692533E-2</v>
      </c>
      <c r="E20" s="108">
        <f>IFERROR(E17/E19,0)</f>
        <v>1.5467283780170845E-2</v>
      </c>
      <c r="F20" s="108">
        <f>IFERROR(F17/F19,0)</f>
        <v>1.6396460363167789E-2</v>
      </c>
    </row>
    <row r="21" spans="2:6" x14ac:dyDescent="0.2">
      <c r="B21" s="2"/>
      <c r="C21" s="53"/>
      <c r="D21" s="231"/>
      <c r="E21" s="231"/>
      <c r="F21" s="231"/>
    </row>
  </sheetData>
  <mergeCells count="5">
    <mergeCell ref="B6:B8"/>
    <mergeCell ref="C6:C8"/>
    <mergeCell ref="B4:F4"/>
    <mergeCell ref="B3:F3"/>
    <mergeCell ref="B2:F2"/>
  </mergeCells>
  <pageMargins left="1.2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J13" sqref="J13"/>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5.140625" style="4" customWidth="1"/>
    <col min="9" max="9" width="11.7109375" style="4" bestFit="1" customWidth="1"/>
    <col min="10" max="10" width="11.7109375" style="4" customWidth="1"/>
    <col min="11" max="16384" width="9.28515625" style="4"/>
  </cols>
  <sheetData>
    <row r="1" spans="2:10" ht="15" x14ac:dyDescent="0.25">
      <c r="B1" s="58"/>
    </row>
    <row r="2" spans="2:10" ht="14.25" customHeight="1" x14ac:dyDescent="0.2">
      <c r="B2" s="329" t="s">
        <v>394</v>
      </c>
      <c r="C2" s="329"/>
      <c r="D2" s="329"/>
      <c r="E2" s="329"/>
      <c r="F2" s="329"/>
      <c r="G2" s="329"/>
      <c r="H2" s="329"/>
    </row>
    <row r="3" spans="2:10" ht="14.25" customHeight="1" x14ac:dyDescent="0.2">
      <c r="B3" s="329" t="s">
        <v>397</v>
      </c>
      <c r="C3" s="329"/>
      <c r="D3" s="329"/>
      <c r="E3" s="329"/>
      <c r="F3" s="329"/>
      <c r="G3" s="329"/>
      <c r="H3" s="329"/>
    </row>
    <row r="4" spans="2:10" ht="14.25" customHeight="1" x14ac:dyDescent="0.2">
      <c r="B4" s="329" t="s">
        <v>262</v>
      </c>
      <c r="C4" s="329"/>
      <c r="D4" s="329"/>
      <c r="E4" s="329"/>
      <c r="F4" s="329"/>
      <c r="G4" s="329"/>
      <c r="H4" s="329"/>
    </row>
    <row r="5" spans="2:10" ht="15" x14ac:dyDescent="0.25">
      <c r="B5" s="36"/>
      <c r="C5" s="59"/>
      <c r="D5" s="59"/>
      <c r="E5" s="59"/>
      <c r="F5" s="59"/>
      <c r="G5" s="59"/>
      <c r="H5" s="59"/>
    </row>
    <row r="6" spans="2:10" ht="15" x14ac:dyDescent="0.2">
      <c r="H6" s="26" t="s">
        <v>4</v>
      </c>
    </row>
    <row r="7" spans="2:10" s="13" customFormat="1" ht="15" customHeight="1" x14ac:dyDescent="0.2">
      <c r="B7" s="319" t="s">
        <v>188</v>
      </c>
      <c r="C7" s="322" t="s">
        <v>14</v>
      </c>
      <c r="D7" s="326" t="s">
        <v>395</v>
      </c>
      <c r="E7" s="327"/>
      <c r="F7" s="328"/>
      <c r="G7" s="326" t="s">
        <v>396</v>
      </c>
      <c r="H7" s="328"/>
      <c r="I7" s="326" t="s">
        <v>462</v>
      </c>
      <c r="J7" s="328"/>
    </row>
    <row r="8" spans="2:10" s="13" customFormat="1" ht="45" x14ac:dyDescent="0.2">
      <c r="B8" s="320"/>
      <c r="C8" s="322"/>
      <c r="D8" s="15" t="s">
        <v>362</v>
      </c>
      <c r="E8" s="15" t="s">
        <v>232</v>
      </c>
      <c r="F8" s="15" t="s">
        <v>201</v>
      </c>
      <c r="G8" s="15" t="s">
        <v>362</v>
      </c>
      <c r="H8" s="15" t="s">
        <v>231</v>
      </c>
      <c r="I8" s="15" t="s">
        <v>362</v>
      </c>
      <c r="J8" s="15" t="s">
        <v>231</v>
      </c>
    </row>
    <row r="9" spans="2:10" s="13" customFormat="1" ht="15" x14ac:dyDescent="0.2">
      <c r="B9" s="321"/>
      <c r="C9" s="323"/>
      <c r="D9" s="15" t="s">
        <v>10</v>
      </c>
      <c r="E9" s="15" t="s">
        <v>12</v>
      </c>
      <c r="F9" s="15" t="s">
        <v>223</v>
      </c>
      <c r="G9" s="15" t="s">
        <v>10</v>
      </c>
      <c r="H9" s="15" t="s">
        <v>5</v>
      </c>
      <c r="I9" s="15" t="s">
        <v>10</v>
      </c>
      <c r="J9" s="15" t="s">
        <v>8</v>
      </c>
    </row>
    <row r="10" spans="2:10" s="5" customFormat="1" x14ac:dyDescent="0.2">
      <c r="B10" s="62">
        <v>1</v>
      </c>
      <c r="C10" s="27" t="s">
        <v>236</v>
      </c>
      <c r="D10" s="2"/>
      <c r="E10" s="27"/>
      <c r="F10" s="27"/>
      <c r="G10" s="102"/>
      <c r="H10" s="102">
        <f>E13</f>
        <v>0</v>
      </c>
      <c r="I10" s="102"/>
      <c r="J10" s="102">
        <f>H13</f>
        <v>0</v>
      </c>
    </row>
    <row r="11" spans="2:10" s="5" customFormat="1" x14ac:dyDescent="0.2">
      <c r="B11" s="20">
        <v>2</v>
      </c>
      <c r="C11" s="27" t="s">
        <v>265</v>
      </c>
      <c r="D11" s="2">
        <v>8</v>
      </c>
      <c r="E11" s="99">
        <v>11.55</v>
      </c>
      <c r="F11" s="99">
        <v>11.55</v>
      </c>
      <c r="G11" s="21"/>
      <c r="H11" s="102"/>
      <c r="I11" s="102"/>
      <c r="J11" s="102">
        <v>27.08</v>
      </c>
    </row>
    <row r="12" spans="2:10" s="5" customFormat="1" ht="15" x14ac:dyDescent="0.2">
      <c r="B12" s="20">
        <v>3</v>
      </c>
      <c r="C12" s="29" t="s">
        <v>217</v>
      </c>
      <c r="D12" s="106"/>
      <c r="E12" s="111">
        <v>11.55</v>
      </c>
      <c r="F12" s="111">
        <v>11.55</v>
      </c>
      <c r="G12" s="106"/>
      <c r="H12" s="101"/>
      <c r="I12" s="101"/>
      <c r="J12" s="101">
        <v>27.08</v>
      </c>
    </row>
    <row r="13" spans="2:10" s="5" customFormat="1" ht="15" x14ac:dyDescent="0.2">
      <c r="B13" s="20">
        <v>4</v>
      </c>
      <c r="C13" s="27" t="s">
        <v>237</v>
      </c>
      <c r="D13" s="107">
        <f t="shared" ref="D13:J13" si="0">D10+D11-D12</f>
        <v>8</v>
      </c>
      <c r="E13" s="107">
        <f t="shared" si="0"/>
        <v>0</v>
      </c>
      <c r="F13" s="107">
        <f t="shared" si="0"/>
        <v>0</v>
      </c>
      <c r="G13" s="107">
        <f t="shared" si="0"/>
        <v>0</v>
      </c>
      <c r="H13" s="107">
        <f>H10+H11-H12</f>
        <v>0</v>
      </c>
      <c r="I13" s="107">
        <f>I10+I11-I12</f>
        <v>0</v>
      </c>
      <c r="J13" s="107">
        <f t="shared" si="0"/>
        <v>0</v>
      </c>
    </row>
    <row r="14" spans="2:10" s="32" customFormat="1" ht="15" x14ac:dyDescent="0.2">
      <c r="B14" s="63"/>
      <c r="C14" s="50"/>
      <c r="D14" s="60"/>
      <c r="E14" s="60"/>
      <c r="F14" s="60"/>
      <c r="G14" s="61"/>
      <c r="H14" s="24"/>
    </row>
    <row r="16" spans="2:10" x14ac:dyDescent="0.2">
      <c r="B16" s="64"/>
    </row>
  </sheetData>
  <mergeCells count="8">
    <mergeCell ref="I7:J7"/>
    <mergeCell ref="B4:H4"/>
    <mergeCell ref="B3:H3"/>
    <mergeCell ref="B2:H2"/>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3"/>
  <sheetViews>
    <sheetView showGridLines="0" tabSelected="1" view="pageBreakPreview" zoomScale="70" zoomScaleNormal="106" zoomScaleSheetLayoutView="70" workbookViewId="0">
      <selection sqref="A1:XFD1048576"/>
    </sheetView>
  </sheetViews>
  <sheetFormatPr defaultColWidth="9.140625" defaultRowHeight="14.25" x14ac:dyDescent="0.2"/>
  <cols>
    <col min="1" max="1" width="4.140625" style="5" customWidth="1"/>
    <col min="2" max="2" width="6.28515625" style="5" customWidth="1"/>
    <col min="3" max="3" width="16.5703125" style="5" customWidth="1"/>
    <col min="4" max="4" width="25" style="5" customWidth="1"/>
    <col min="5" max="5" width="37.85546875" style="5" customWidth="1"/>
    <col min="6" max="6" width="22" style="5" customWidth="1"/>
    <col min="7" max="7" width="23.5703125" style="5" customWidth="1"/>
    <col min="8" max="8" width="21.7109375" style="5" customWidth="1"/>
    <col min="9" max="10" width="32" style="5" customWidth="1"/>
    <col min="11" max="11" width="31" style="5" customWidth="1"/>
    <col min="12" max="12" width="105.57031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6" ht="15" x14ac:dyDescent="0.2">
      <c r="B1" s="297"/>
    </row>
    <row r="2" spans="2:16" ht="15" x14ac:dyDescent="0.2">
      <c r="B2" s="375" t="s">
        <v>394</v>
      </c>
      <c r="C2" s="375"/>
      <c r="D2" s="375"/>
      <c r="E2" s="375"/>
      <c r="F2" s="375"/>
      <c r="G2" s="375"/>
      <c r="H2" s="375"/>
      <c r="I2" s="375"/>
      <c r="J2" s="375"/>
      <c r="K2" s="375"/>
      <c r="L2" s="375"/>
    </row>
    <row r="3" spans="2:16" ht="15" x14ac:dyDescent="0.2">
      <c r="B3" s="375" t="s">
        <v>397</v>
      </c>
      <c r="C3" s="375"/>
      <c r="D3" s="375"/>
      <c r="E3" s="375"/>
      <c r="F3" s="375"/>
      <c r="G3" s="375"/>
      <c r="H3" s="375"/>
      <c r="I3" s="375"/>
      <c r="J3" s="375"/>
      <c r="K3" s="375"/>
      <c r="L3" s="375"/>
    </row>
    <row r="4" spans="2:16" ht="15" x14ac:dyDescent="0.2">
      <c r="B4" s="329" t="s">
        <v>263</v>
      </c>
      <c r="C4" s="329"/>
      <c r="D4" s="329"/>
      <c r="E4" s="329"/>
      <c r="F4" s="329"/>
      <c r="G4" s="329"/>
      <c r="H4" s="329"/>
      <c r="I4" s="329"/>
      <c r="J4" s="329"/>
      <c r="K4" s="329"/>
      <c r="L4" s="329"/>
    </row>
    <row r="5" spans="2:16" ht="15" x14ac:dyDescent="0.2">
      <c r="K5" s="296"/>
    </row>
    <row r="6" spans="2:16" ht="75" x14ac:dyDescent="0.2">
      <c r="B6" s="298" t="s">
        <v>188</v>
      </c>
      <c r="C6" s="376" t="s">
        <v>238</v>
      </c>
      <c r="D6" s="299" t="s">
        <v>507</v>
      </c>
      <c r="E6" s="376" t="s">
        <v>239</v>
      </c>
      <c r="F6" s="299" t="s">
        <v>241</v>
      </c>
      <c r="G6" s="299" t="s">
        <v>508</v>
      </c>
      <c r="H6" s="299" t="s">
        <v>244</v>
      </c>
      <c r="I6" s="299" t="s">
        <v>509</v>
      </c>
      <c r="J6" s="376" t="s">
        <v>240</v>
      </c>
      <c r="K6" s="299" t="s">
        <v>245</v>
      </c>
      <c r="L6" s="299" t="s">
        <v>181</v>
      </c>
      <c r="M6" s="25"/>
      <c r="N6" s="25"/>
      <c r="O6" s="25"/>
      <c r="P6" s="25"/>
    </row>
    <row r="7" spans="2:16" ht="15" x14ac:dyDescent="0.2">
      <c r="B7" s="167"/>
      <c r="C7" s="377" t="s">
        <v>510</v>
      </c>
      <c r="D7" s="201"/>
      <c r="E7" s="201"/>
      <c r="F7" s="201"/>
      <c r="G7" s="201"/>
      <c r="H7" s="201"/>
      <c r="I7" s="201"/>
      <c r="J7" s="201"/>
      <c r="K7" s="201"/>
      <c r="L7" s="201"/>
    </row>
    <row r="8" spans="2:16" ht="15" customHeight="1" x14ac:dyDescent="0.2">
      <c r="B8" s="376">
        <v>1</v>
      </c>
      <c r="C8" s="299" t="s">
        <v>510</v>
      </c>
      <c r="D8" s="201"/>
      <c r="E8" s="378" t="s">
        <v>130</v>
      </c>
      <c r="F8" s="201"/>
      <c r="G8" s="201"/>
      <c r="H8" s="379">
        <v>0.15593889999999999</v>
      </c>
      <c r="I8" s="201" t="s">
        <v>511</v>
      </c>
      <c r="J8" s="201"/>
      <c r="K8" s="201"/>
      <c r="L8" s="201"/>
    </row>
    <row r="9" spans="2:16" ht="31.5" x14ac:dyDescent="0.2">
      <c r="B9" s="376">
        <v>2</v>
      </c>
      <c r="C9" s="299" t="s">
        <v>510</v>
      </c>
      <c r="D9" s="201"/>
      <c r="E9" s="380" t="s">
        <v>512</v>
      </c>
      <c r="F9" s="201"/>
      <c r="G9" s="201"/>
      <c r="H9" s="379">
        <v>10.8851143</v>
      </c>
      <c r="I9" s="201" t="s">
        <v>511</v>
      </c>
      <c r="J9" s="201"/>
      <c r="K9" s="201"/>
      <c r="L9" s="201"/>
    </row>
    <row r="10" spans="2:16" ht="15.75" x14ac:dyDescent="0.2">
      <c r="B10" s="376">
        <v>3</v>
      </c>
      <c r="C10" s="299" t="s">
        <v>510</v>
      </c>
      <c r="D10" s="201"/>
      <c r="E10" s="380" t="s">
        <v>513</v>
      </c>
      <c r="F10" s="201"/>
      <c r="G10" s="201"/>
      <c r="H10" s="379">
        <v>0.25204389999999999</v>
      </c>
      <c r="I10" s="201" t="s">
        <v>511</v>
      </c>
      <c r="J10" s="201"/>
      <c r="K10" s="201"/>
      <c r="L10" s="201"/>
    </row>
    <row r="11" spans="2:16" ht="15.75" x14ac:dyDescent="0.2">
      <c r="B11" s="376"/>
      <c r="C11" s="299"/>
      <c r="D11" s="201"/>
      <c r="E11" s="380" t="s">
        <v>514</v>
      </c>
      <c r="F11" s="201"/>
      <c r="G11" s="201"/>
      <c r="H11" s="379">
        <v>0.25204389999999999</v>
      </c>
      <c r="I11" s="201" t="s">
        <v>511</v>
      </c>
      <c r="J11" s="201"/>
      <c r="K11" s="201"/>
      <c r="L11" s="201"/>
    </row>
    <row r="12" spans="2:16" ht="15" x14ac:dyDescent="0.2">
      <c r="B12" s="167"/>
      <c r="C12" s="381" t="s">
        <v>135</v>
      </c>
      <c r="D12" s="201"/>
      <c r="E12" s="382"/>
      <c r="F12" s="201"/>
      <c r="G12" s="201"/>
      <c r="H12" s="383">
        <f>SUM(H8:H11)</f>
        <v>11.545141000000001</v>
      </c>
      <c r="I12" s="201"/>
      <c r="J12" s="201"/>
      <c r="K12" s="201"/>
      <c r="L12" s="201"/>
    </row>
    <row r="13" spans="2:16" ht="15" x14ac:dyDescent="0.2">
      <c r="B13" s="167"/>
      <c r="C13" s="377" t="s">
        <v>515</v>
      </c>
      <c r="D13" s="201"/>
      <c r="E13" s="382"/>
      <c r="F13" s="201"/>
      <c r="G13" s="201"/>
      <c r="H13" s="201"/>
      <c r="I13" s="201"/>
      <c r="J13" s="201"/>
      <c r="K13" s="201"/>
      <c r="L13" s="201"/>
    </row>
    <row r="14" spans="2:16" ht="15" customHeight="1" x14ac:dyDescent="0.2">
      <c r="B14" s="376">
        <v>1</v>
      </c>
      <c r="C14" s="299" t="s">
        <v>515</v>
      </c>
      <c r="D14" s="384"/>
      <c r="E14" s="385"/>
      <c r="F14" s="381"/>
      <c r="G14" s="381"/>
      <c r="H14" s="381"/>
      <c r="I14" s="384"/>
      <c r="J14" s="386"/>
      <c r="K14" s="384"/>
      <c r="L14" s="387"/>
    </row>
    <row r="15" spans="2:16" ht="15" x14ac:dyDescent="0.2">
      <c r="B15" s="376">
        <v>2</v>
      </c>
      <c r="C15" s="381"/>
      <c r="E15" s="384"/>
      <c r="F15" s="381"/>
      <c r="G15" s="381"/>
      <c r="H15" s="381"/>
      <c r="I15" s="384"/>
      <c r="J15" s="386"/>
      <c r="K15" s="384"/>
      <c r="L15" s="387"/>
    </row>
    <row r="16" spans="2:16" ht="15" x14ac:dyDescent="0.2">
      <c r="B16" s="376"/>
      <c r="C16" s="381" t="s">
        <v>135</v>
      </c>
      <c r="D16" s="201"/>
      <c r="E16" s="388"/>
      <c r="F16" s="381"/>
      <c r="G16" s="381"/>
      <c r="H16" s="381">
        <v>0</v>
      </c>
      <c r="I16" s="384"/>
      <c r="J16" s="386"/>
      <c r="K16" s="384"/>
      <c r="L16" s="387"/>
    </row>
    <row r="17" spans="2:12" ht="15" x14ac:dyDescent="0.2">
      <c r="B17" s="167"/>
      <c r="C17" s="377" t="s">
        <v>516</v>
      </c>
      <c r="D17" s="201"/>
      <c r="E17" s="201"/>
      <c r="F17" s="201"/>
      <c r="G17" s="201"/>
      <c r="H17" s="201"/>
      <c r="I17" s="201"/>
      <c r="J17" s="201"/>
      <c r="K17" s="201"/>
      <c r="L17" s="201"/>
    </row>
    <row r="18" spans="2:12" ht="286.5" x14ac:dyDescent="0.2">
      <c r="B18" s="376">
        <v>1</v>
      </c>
      <c r="C18" s="381" t="s">
        <v>516</v>
      </c>
      <c r="D18" s="384" t="s">
        <v>125</v>
      </c>
      <c r="E18" s="385" t="s">
        <v>517</v>
      </c>
      <c r="F18" s="381">
        <v>50.65</v>
      </c>
      <c r="G18" s="381">
        <v>20</v>
      </c>
      <c r="H18" s="381">
        <v>25.33</v>
      </c>
      <c r="I18" s="384" t="s">
        <v>518</v>
      </c>
      <c r="J18" s="386" t="s">
        <v>519</v>
      </c>
      <c r="K18" s="384" t="s">
        <v>520</v>
      </c>
      <c r="L18" s="387" t="s">
        <v>521</v>
      </c>
    </row>
    <row r="19" spans="2:12" ht="85.5" x14ac:dyDescent="0.2">
      <c r="B19" s="376">
        <v>2</v>
      </c>
      <c r="C19" s="381" t="s">
        <v>516</v>
      </c>
      <c r="D19" s="384" t="s">
        <v>522</v>
      </c>
      <c r="E19" s="384" t="s">
        <v>523</v>
      </c>
      <c r="F19" s="381">
        <v>6.5</v>
      </c>
      <c r="G19" s="381">
        <v>3.5</v>
      </c>
      <c r="H19" s="381">
        <v>1.75</v>
      </c>
      <c r="I19" s="384" t="s">
        <v>524</v>
      </c>
      <c r="J19" s="386" t="s">
        <v>525</v>
      </c>
      <c r="K19" s="384" t="s">
        <v>526</v>
      </c>
      <c r="L19" s="387" t="s">
        <v>527</v>
      </c>
    </row>
    <row r="20" spans="2:12" ht="15" x14ac:dyDescent="0.2">
      <c r="B20" s="167">
        <v>3</v>
      </c>
      <c r="C20" s="167"/>
      <c r="D20" s="201"/>
      <c r="E20" s="201"/>
      <c r="F20" s="201"/>
      <c r="G20" s="201"/>
      <c r="H20" s="376"/>
      <c r="I20" s="201"/>
      <c r="J20" s="201"/>
      <c r="K20" s="201"/>
      <c r="L20" s="201"/>
    </row>
    <row r="21" spans="2:12" ht="15" x14ac:dyDescent="0.2">
      <c r="B21" s="201"/>
      <c r="C21" s="201" t="s">
        <v>9</v>
      </c>
      <c r="D21" s="201"/>
      <c r="E21" s="201"/>
      <c r="F21" s="201"/>
      <c r="G21" s="201"/>
      <c r="H21" s="376"/>
      <c r="I21" s="201"/>
      <c r="J21" s="201"/>
      <c r="K21" s="201"/>
      <c r="L21" s="201"/>
    </row>
    <row r="22" spans="2:12" ht="15" x14ac:dyDescent="0.2">
      <c r="B22" s="201"/>
      <c r="C22" s="376" t="s">
        <v>135</v>
      </c>
      <c r="D22" s="201"/>
      <c r="E22" s="201"/>
      <c r="F22" s="201"/>
      <c r="G22" s="201"/>
      <c r="H22" s="376">
        <f>SUM(H18:H21)</f>
        <v>27.08</v>
      </c>
      <c r="I22" s="201"/>
      <c r="J22" s="201"/>
      <c r="K22" s="201"/>
      <c r="L22" s="201"/>
    </row>
    <row r="23" spans="2:12" x14ac:dyDescent="0.2">
      <c r="B23" s="63" t="s">
        <v>242</v>
      </c>
      <c r="C23" s="51" t="s">
        <v>243</v>
      </c>
    </row>
  </sheetData>
  <mergeCells count="3">
    <mergeCell ref="B2:L2"/>
    <mergeCell ref="B3:L3"/>
    <mergeCell ref="B4:L4"/>
  </mergeCells>
  <pageMargins left="0.27" right="0.25" top="1" bottom="1" header="0.25" footer="0.25"/>
  <pageSetup paperSize="9" scale="40"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view="pageBreakPreview" zoomScaleSheetLayoutView="100" workbookViewId="0">
      <selection activeCell="J17" sqref="J17"/>
    </sheetView>
  </sheetViews>
  <sheetFormatPr defaultColWidth="9.28515625" defaultRowHeight="14.25" x14ac:dyDescent="0.2"/>
  <cols>
    <col min="1" max="2" width="9.28515625" style="86"/>
    <col min="3" max="3" width="42" style="86" customWidth="1"/>
    <col min="4" max="4" width="16.28515625" style="86" customWidth="1"/>
    <col min="5" max="5" width="12.5703125" style="86" customWidth="1"/>
    <col min="6" max="6" width="16.28515625" style="86" customWidth="1"/>
    <col min="7" max="16384" width="9.28515625" style="86"/>
  </cols>
  <sheetData>
    <row r="2" spans="2:6" ht="14.25" customHeight="1" x14ac:dyDescent="0.2">
      <c r="B2" s="329" t="s">
        <v>394</v>
      </c>
      <c r="C2" s="329"/>
      <c r="D2" s="329"/>
      <c r="E2" s="329"/>
      <c r="F2" s="329"/>
    </row>
    <row r="3" spans="2:6" ht="14.25" customHeight="1" x14ac:dyDescent="0.2">
      <c r="B3" s="329" t="s">
        <v>397</v>
      </c>
      <c r="C3" s="329"/>
      <c r="D3" s="329"/>
      <c r="E3" s="329"/>
      <c r="F3" s="329"/>
    </row>
    <row r="4" spans="2:6" ht="14.25" customHeight="1" x14ac:dyDescent="0.2">
      <c r="B4" s="329" t="s">
        <v>288</v>
      </c>
      <c r="C4" s="329"/>
      <c r="D4" s="329"/>
      <c r="E4" s="329"/>
      <c r="F4" s="329"/>
    </row>
    <row r="5" spans="2:6" x14ac:dyDescent="0.2">
      <c r="F5" s="86" t="s">
        <v>505</v>
      </c>
    </row>
    <row r="6" spans="2:6" ht="15" customHeight="1" x14ac:dyDescent="0.2">
      <c r="B6" s="324" t="s">
        <v>188</v>
      </c>
      <c r="C6" s="336" t="s">
        <v>14</v>
      </c>
      <c r="D6" s="324" t="s">
        <v>395</v>
      </c>
      <c r="E6" s="119" t="s">
        <v>463</v>
      </c>
      <c r="F6" s="15" t="s">
        <v>462</v>
      </c>
    </row>
    <row r="7" spans="2:6" ht="15" x14ac:dyDescent="0.2">
      <c r="B7" s="324"/>
      <c r="C7" s="336"/>
      <c r="D7" s="324"/>
      <c r="E7" s="15" t="s">
        <v>231</v>
      </c>
      <c r="F7" s="15" t="s">
        <v>221</v>
      </c>
    </row>
    <row r="8" spans="2:6" ht="15" x14ac:dyDescent="0.2">
      <c r="B8" s="324"/>
      <c r="C8" s="336"/>
      <c r="D8" s="87" t="s">
        <v>3</v>
      </c>
      <c r="E8" s="15" t="s">
        <v>5</v>
      </c>
      <c r="F8" s="15" t="s">
        <v>8</v>
      </c>
    </row>
    <row r="9" spans="2:6" ht="15" x14ac:dyDescent="0.2">
      <c r="B9" s="88">
        <v>1</v>
      </c>
      <c r="C9" s="28" t="s">
        <v>289</v>
      </c>
      <c r="D9" s="100">
        <f>F3.1!H12</f>
        <v>11.545141000000001</v>
      </c>
      <c r="E9" s="100"/>
      <c r="F9" s="100">
        <f>'F3'!J12</f>
        <v>27.08</v>
      </c>
    </row>
    <row r="10" spans="2:6" x14ac:dyDescent="0.2">
      <c r="B10" s="28"/>
      <c r="C10" s="28"/>
      <c r="D10" s="96"/>
      <c r="E10" s="96"/>
      <c r="F10" s="96"/>
    </row>
    <row r="11" spans="2:6" ht="15" x14ac:dyDescent="0.2">
      <c r="B11" s="88">
        <v>2</v>
      </c>
      <c r="C11" s="89" t="s">
        <v>182</v>
      </c>
      <c r="D11" s="96"/>
      <c r="E11" s="96"/>
      <c r="F11" s="96"/>
    </row>
    <row r="12" spans="2:6" x14ac:dyDescent="0.2">
      <c r="B12" s="28"/>
      <c r="C12" s="28" t="s">
        <v>187</v>
      </c>
      <c r="D12" s="96"/>
      <c r="E12" s="96"/>
      <c r="F12" s="96"/>
    </row>
    <row r="13" spans="2:6" x14ac:dyDescent="0.2">
      <c r="B13" s="28"/>
      <c r="C13" s="28" t="s">
        <v>186</v>
      </c>
      <c r="D13" s="96"/>
      <c r="E13" s="96"/>
      <c r="F13" s="96"/>
    </row>
    <row r="14" spans="2:6" x14ac:dyDescent="0.2">
      <c r="B14" s="28"/>
      <c r="C14" s="28" t="s">
        <v>9</v>
      </c>
      <c r="D14" s="96"/>
      <c r="E14" s="96"/>
      <c r="F14" s="96"/>
    </row>
    <row r="15" spans="2:6" ht="15" x14ac:dyDescent="0.2">
      <c r="B15" s="28"/>
      <c r="C15" s="89" t="s">
        <v>180</v>
      </c>
      <c r="D15" s="100">
        <f>SUM(D12:D14)</f>
        <v>0</v>
      </c>
      <c r="E15" s="100">
        <f>SUM(E12:E14)</f>
        <v>0</v>
      </c>
      <c r="F15" s="100">
        <f>SUM(F12:F14)</f>
        <v>0</v>
      </c>
    </row>
    <row r="16" spans="2:6" x14ac:dyDescent="0.2">
      <c r="B16" s="28"/>
      <c r="C16" s="28"/>
      <c r="D16" s="96"/>
      <c r="E16" s="96"/>
      <c r="F16" s="96"/>
    </row>
    <row r="17" spans="2:6" x14ac:dyDescent="0.2">
      <c r="B17" s="88">
        <v>3</v>
      </c>
      <c r="C17" s="28" t="s">
        <v>0</v>
      </c>
      <c r="D17" s="96"/>
      <c r="E17" s="96"/>
      <c r="F17" s="96"/>
    </row>
    <row r="18" spans="2:6" x14ac:dyDescent="0.2">
      <c r="B18" s="88">
        <v>4</v>
      </c>
      <c r="C18" s="28" t="s">
        <v>183</v>
      </c>
      <c r="D18" s="96">
        <f>D9</f>
        <v>11.545141000000001</v>
      </c>
      <c r="E18" s="96">
        <f>E9</f>
        <v>0</v>
      </c>
      <c r="F18" s="96">
        <f>F9</f>
        <v>27.08</v>
      </c>
    </row>
    <row r="19" spans="2:6" x14ac:dyDescent="0.2">
      <c r="B19" s="88">
        <v>5</v>
      </c>
      <c r="C19" s="28" t="s">
        <v>290</v>
      </c>
      <c r="D19" s="96"/>
      <c r="E19" s="96"/>
      <c r="F19" s="96"/>
    </row>
    <row r="20" spans="2:6" ht="15" x14ac:dyDescent="0.2">
      <c r="B20" s="28"/>
      <c r="C20" s="28"/>
      <c r="D20" s="98"/>
      <c r="E20" s="98"/>
      <c r="F20" s="98"/>
    </row>
    <row r="21" spans="2:6" ht="15" x14ac:dyDescent="0.2">
      <c r="B21" s="88">
        <v>6</v>
      </c>
      <c r="C21" s="89" t="s">
        <v>291</v>
      </c>
      <c r="D21" s="100">
        <f>D15+D17+D18+D19</f>
        <v>11.545141000000001</v>
      </c>
      <c r="E21" s="100">
        <f>SUM(E18:E20)</f>
        <v>0</v>
      </c>
      <c r="F21" s="100">
        <f>F15+F17+F18+F19</f>
        <v>27.08</v>
      </c>
    </row>
  </sheetData>
  <mergeCells count="6">
    <mergeCell ref="D6:D7"/>
    <mergeCell ref="B6:B8"/>
    <mergeCell ref="C6:C8"/>
    <mergeCell ref="B2:F2"/>
    <mergeCell ref="B3:F3"/>
    <mergeCell ref="B4:F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vt:i4>
      </vt:variant>
    </vt:vector>
  </HeadingPairs>
  <TitlesOfParts>
    <vt:vector size="23"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F11.1</vt:lpstr>
      <vt:lpstr>F12</vt:lpstr>
      <vt:lpstr>F13</vt:lpstr>
      <vt:lpstr>F15</vt:lpstr>
      <vt:lpstr>Checklist!Print_Area</vt:lpstr>
      <vt:lpstr>'F7'!Print_Area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2025-11-28T08:29:21Z</cp:lastPrinted>
  <dcterms:created xsi:type="dcterms:W3CDTF">2004-07-28T05:30:50Z</dcterms:created>
  <dcterms:modified xsi:type="dcterms:W3CDTF">2025-12-16T10:25:54Z</dcterms:modified>
</cp:coreProperties>
</file>